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Timberlakes\Desktop\Budgets\"/>
    </mc:Choice>
  </mc:AlternateContent>
  <xr:revisionPtr revIDLastSave="0" documentId="13_ncr:1_{CDC2BD12-021B-4415-BD71-40FB5544F8A8}" xr6:coauthVersionLast="47" xr6:coauthVersionMax="47" xr10:uidLastSave="{00000000-0000-0000-0000-000000000000}"/>
  <bookViews>
    <workbookView xWindow="33300" yWindow="210" windowWidth="14400" windowHeight="14820" firstSheet="9" activeTab="10" xr2:uid="{00000000-000D-0000-FFFF-FFFF00000000}"/>
  </bookViews>
  <sheets>
    <sheet name="Early Projections" sheetId="13" state="hidden" r:id="rId1"/>
    <sheet name="Inputs" sheetId="17" state="hidden" r:id="rId2"/>
    <sheet name="Rate Changes Summary" sheetId="16" state="hidden" r:id="rId3"/>
    <sheet name="Sheet9" sheetId="21" state="hidden" r:id="rId4"/>
    <sheet name="Existing Debt" sheetId="19" state="hidden" r:id="rId5"/>
    <sheet name="Allocation" sheetId="18" state="hidden" r:id="rId6"/>
    <sheet name="Sheet3" sheetId="15" state="hidden" r:id="rId7"/>
    <sheet name="Water Usage Rate Summary" sheetId="14" state="hidden" r:id="rId8"/>
    <sheet name="2021 Payroll Benefits Summary" sheetId="12" state="hidden" r:id="rId9"/>
    <sheet name="2022 Payroll Benefits Summa (3)" sheetId="33" r:id="rId10"/>
    <sheet name="2022 Approved" sheetId="4" r:id="rId11"/>
    <sheet name="2021 Reserve Amort" sheetId="30" r:id="rId12"/>
    <sheet name="2004 Reserve Amort" sheetId="31" r:id="rId13"/>
    <sheet name="2022 Payroll Benefits Summa (2)" sheetId="28" state="hidden" r:id="rId14"/>
    <sheet name="Sheet4" sheetId="23" state="hidden" r:id="rId15"/>
    <sheet name="Sheet2" sheetId="22" state="hidden" r:id="rId16"/>
    <sheet name="Month End Cash Summary" sheetId="8" state="hidden" r:id="rId17"/>
    <sheet name="Payroll Costs 2016-2017" sheetId="10" state="hidden" r:id="rId18"/>
    <sheet name="Payroll Costs 2018" sheetId="7" state="hidden" r:id="rId19"/>
    <sheet name="Debt Service 2011 Assesment" sheetId="2" state="hidden" r:id="rId20"/>
    <sheet name="Debt Service 2" sheetId="3" state="hidden" r:id="rId21"/>
    <sheet name="Overtime 2009-2016" sheetId="9" state="hidden" r:id="rId22"/>
  </sheets>
  <externalReferences>
    <externalReference r:id="rId23"/>
    <externalReference r:id="rId24"/>
    <externalReference r:id="rId25"/>
  </externalReferences>
  <definedNames>
    <definedName name="_xlnm._FilterDatabase" localSheetId="10" hidden="1">'2022 Approved'!$A$106:$C$106</definedName>
    <definedName name="_xlnm.Print_Area" localSheetId="12">'2004 Reserve Amort'!$A$1:$H$101</definedName>
    <definedName name="_xlnm.Print_Area" localSheetId="11">'2021 Reserve Amort'!$A$1:$H$102</definedName>
    <definedName name="_xlnm.Print_Area" localSheetId="10">'2022 Approved'!$A$1:$K$111</definedName>
    <definedName name="_xlnm.Print_Area" localSheetId="19">'Debt Service 2011 Assesment'!$A$1:$M$30</definedName>
    <definedName name="_xlnm.Print_Titles" localSheetId="12">'2004 Reserve Amort'!$10:$11</definedName>
    <definedName name="_xlnm.Print_Titles" localSheetId="10">'2022 Approved'!$1:$1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4" l="1"/>
  <c r="D26" i="33"/>
  <c r="D30" i="33"/>
  <c r="D29" i="33"/>
  <c r="D27" i="33" l="1"/>
  <c r="D28" i="33"/>
  <c r="G10" i="33"/>
  <c r="G9" i="33"/>
  <c r="C10" i="4"/>
  <c r="C107" i="4" l="1"/>
  <c r="D79" i="4" s="1"/>
  <c r="D82" i="4"/>
  <c r="D78" i="4"/>
  <c r="H20" i="33" l="1"/>
  <c r="H21" i="33"/>
  <c r="H22" i="33"/>
  <c r="H19" i="33"/>
  <c r="H18" i="33"/>
  <c r="N13" i="33"/>
  <c r="D5" i="4" s="1"/>
  <c r="D8" i="4"/>
  <c r="C22" i="33"/>
  <c r="C20" i="33"/>
  <c r="C21" i="33"/>
  <c r="C19" i="33"/>
  <c r="C18" i="33"/>
  <c r="C23" i="33" l="1"/>
  <c r="F4" i="33"/>
  <c r="J4" i="33"/>
  <c r="F5" i="33"/>
  <c r="J5" i="33"/>
  <c r="F6" i="33"/>
  <c r="J6" i="33"/>
  <c r="J7" i="33"/>
  <c r="J8" i="33"/>
  <c r="E26" i="33"/>
  <c r="E27" i="33"/>
  <c r="E28" i="33"/>
  <c r="C6" i="33" s="1"/>
  <c r="E6" i="33" s="1"/>
  <c r="E29" i="33"/>
  <c r="E30" i="33"/>
  <c r="C31" i="33"/>
  <c r="C108" i="4"/>
  <c r="J13" i="33" l="1"/>
  <c r="D7" i="4" s="1"/>
  <c r="D6" i="33"/>
  <c r="C8" i="33"/>
  <c r="D8" i="33" s="1"/>
  <c r="F13" i="33"/>
  <c r="C4" i="33"/>
  <c r="E4" i="33" s="1"/>
  <c r="C7" i="33"/>
  <c r="D7" i="33" s="1"/>
  <c r="K7" i="33" s="1"/>
  <c r="C5" i="33"/>
  <c r="E5" i="33" s="1"/>
  <c r="D4" i="33" l="1"/>
  <c r="G4" i="33" s="1"/>
  <c r="K4" i="33" s="1"/>
  <c r="G6" i="33"/>
  <c r="K6" i="33" s="1"/>
  <c r="D5" i="33"/>
  <c r="K5" i="33" s="1"/>
  <c r="E13" i="33"/>
  <c r="G8" i="33"/>
  <c r="G7" i="33"/>
  <c r="O7" i="33" s="1"/>
  <c r="C63" i="4"/>
  <c r="H1" i="31"/>
  <c r="K2" i="31" s="1"/>
  <c r="N1" i="31"/>
  <c r="A2" i="31"/>
  <c r="E2" i="31"/>
  <c r="F5" i="31"/>
  <c r="C6" i="31"/>
  <c r="C7" i="31"/>
  <c r="H8" i="31"/>
  <c r="L100" i="31"/>
  <c r="K102" i="31"/>
  <c r="K8" i="33" l="1"/>
  <c r="I6" i="33"/>
  <c r="O6" i="33"/>
  <c r="M6" i="33"/>
  <c r="L6" i="33"/>
  <c r="D13" i="33"/>
  <c r="G5" i="33"/>
  <c r="I5" i="33" s="1"/>
  <c r="I7" i="33"/>
  <c r="L7" i="33"/>
  <c r="M7" i="33"/>
  <c r="M8" i="33"/>
  <c r="L8" i="33"/>
  <c r="O8" i="33"/>
  <c r="I8" i="33"/>
  <c r="L4" i="33"/>
  <c r="M4" i="33"/>
  <c r="O4" i="33"/>
  <c r="I4" i="33"/>
  <c r="I13" i="33" s="1"/>
  <c r="A12" i="31"/>
  <c r="C5" i="31"/>
  <c r="J1" i="30"/>
  <c r="K1" i="30" s="1"/>
  <c r="K3" i="30" s="1"/>
  <c r="N1" i="30"/>
  <c r="A2" i="30"/>
  <c r="E2" i="30"/>
  <c r="K2" i="30"/>
  <c r="H8" i="30"/>
  <c r="A12" i="30"/>
  <c r="A13" i="30" s="1"/>
  <c r="J13" i="30" s="1"/>
  <c r="J12" i="30"/>
  <c r="L100" i="30"/>
  <c r="C101" i="30"/>
  <c r="H12" i="30" s="1"/>
  <c r="H13" i="30" s="1"/>
  <c r="H14" i="30" s="1"/>
  <c r="K102" i="30"/>
  <c r="K12" i="30" l="1"/>
  <c r="G13" i="33"/>
  <c r="D9" i="4" s="1"/>
  <c r="P6" i="33"/>
  <c r="M5" i="33"/>
  <c r="L5" i="33"/>
  <c r="L13" i="33" s="1"/>
  <c r="O5" i="33"/>
  <c r="O13" i="33" s="1"/>
  <c r="P7" i="33"/>
  <c r="P8" i="33"/>
  <c r="K13" i="33"/>
  <c r="P4" i="33"/>
  <c r="A13" i="31"/>
  <c r="B12" i="31"/>
  <c r="J1" i="31"/>
  <c r="K1" i="31" s="1"/>
  <c r="K3" i="31" s="1"/>
  <c r="C12" i="31"/>
  <c r="K13" i="30"/>
  <c r="A14" i="30"/>
  <c r="H6" i="28"/>
  <c r="H7" i="28"/>
  <c r="H8" i="28"/>
  <c r="H5" i="28"/>
  <c r="C18" i="28"/>
  <c r="C17" i="28"/>
  <c r="C16" i="28"/>
  <c r="C15" i="28"/>
  <c r="C14" i="28"/>
  <c r="H4" i="28" s="1"/>
  <c r="J12" i="31" l="1"/>
  <c r="D3" i="4"/>
  <c r="P5" i="33"/>
  <c r="M13" i="33"/>
  <c r="P13" i="33" s="1"/>
  <c r="Q8" i="33" s="1"/>
  <c r="D6" i="4"/>
  <c r="B13" i="31"/>
  <c r="C13" i="31"/>
  <c r="A14" i="31"/>
  <c r="K12" i="31"/>
  <c r="K14" i="30"/>
  <c r="A15" i="30"/>
  <c r="J14" i="30"/>
  <c r="D4" i="4" l="1"/>
  <c r="D10" i="4" s="1"/>
  <c r="J13" i="31"/>
  <c r="K13" i="31"/>
  <c r="C14" i="31"/>
  <c r="K14" i="31" s="1"/>
  <c r="A15" i="31"/>
  <c r="B14" i="31"/>
  <c r="J15" i="30"/>
  <c r="K15" i="30"/>
  <c r="H15" i="30"/>
  <c r="A16" i="30"/>
  <c r="C20" i="4"/>
  <c r="C74" i="4"/>
  <c r="C38" i="4" l="1"/>
  <c r="C64" i="4" s="1"/>
  <c r="C15" i="31"/>
  <c r="A16" i="31"/>
  <c r="B15" i="31"/>
  <c r="J14" i="31"/>
  <c r="H16" i="30"/>
  <c r="J16" i="30"/>
  <c r="K16" i="30"/>
  <c r="A17" i="30"/>
  <c r="H14" i="28"/>
  <c r="H15" i="28"/>
  <c r="H16" i="28"/>
  <c r="H17" i="28"/>
  <c r="H18" i="28"/>
  <c r="D22" i="28"/>
  <c r="D23" i="28"/>
  <c r="D24" i="28"/>
  <c r="D25" i="28"/>
  <c r="C44" i="28"/>
  <c r="C45" i="28"/>
  <c r="C46" i="28"/>
  <c r="C47" i="28"/>
  <c r="C48" i="28"/>
  <c r="J15" i="31" l="1"/>
  <c r="K15" i="31"/>
  <c r="B16" i="31"/>
  <c r="C16" i="31"/>
  <c r="A17" i="31"/>
  <c r="H17" i="30"/>
  <c r="K17" i="30"/>
  <c r="A18" i="30"/>
  <c r="J17" i="30"/>
  <c r="E25" i="28"/>
  <c r="C8" i="28"/>
  <c r="D8" i="28" s="1"/>
  <c r="F8" i="28" s="1"/>
  <c r="I8" i="28" s="1"/>
  <c r="E24" i="28"/>
  <c r="C7" i="28"/>
  <c r="D7" i="28" s="1"/>
  <c r="F7" i="28" s="1"/>
  <c r="L7" i="28" s="1"/>
  <c r="E23" i="28"/>
  <c r="C6" i="28"/>
  <c r="E22" i="28"/>
  <c r="C5" i="28"/>
  <c r="H9" i="28"/>
  <c r="D5" i="28" l="1"/>
  <c r="F5" i="28" s="1"/>
  <c r="I5" i="28" s="1"/>
  <c r="E5" i="28"/>
  <c r="D6" i="28"/>
  <c r="E6" i="28"/>
  <c r="K16" i="31"/>
  <c r="J16" i="31"/>
  <c r="B17" i="31"/>
  <c r="C17" i="31"/>
  <c r="A18" i="31"/>
  <c r="J18" i="30"/>
  <c r="K18" i="30"/>
  <c r="A19" i="30"/>
  <c r="H18" i="30"/>
  <c r="L8" i="28"/>
  <c r="J8" i="28"/>
  <c r="K8" i="28"/>
  <c r="I7" i="28"/>
  <c r="J7" i="28"/>
  <c r="K7" i="28"/>
  <c r="G7" i="28"/>
  <c r="M7" i="28" s="1"/>
  <c r="G8" i="28"/>
  <c r="L5" i="28"/>
  <c r="K5" i="28"/>
  <c r="J5" i="28"/>
  <c r="G5" i="28"/>
  <c r="F6" i="28" l="1"/>
  <c r="M8" i="28"/>
  <c r="J17" i="31"/>
  <c r="B18" i="31"/>
  <c r="C18" i="31"/>
  <c r="A19" i="31"/>
  <c r="K18" i="31"/>
  <c r="G18" i="31"/>
  <c r="H18" i="31"/>
  <c r="E18" i="31"/>
  <c r="J18" i="31"/>
  <c r="K17" i="31"/>
  <c r="A20" i="30"/>
  <c r="H19" i="30"/>
  <c r="J19" i="30"/>
  <c r="K19" i="30"/>
  <c r="M5" i="28"/>
  <c r="D81" i="4"/>
  <c r="C110" i="4"/>
  <c r="C109" i="4"/>
  <c r="D80" i="4" s="1"/>
  <c r="C96" i="4"/>
  <c r="C103" i="4" s="1"/>
  <c r="J6" i="28" l="1"/>
  <c r="L6" i="28"/>
  <c r="I6" i="28"/>
  <c r="G6" i="28"/>
  <c r="M6" i="28" s="1"/>
  <c r="K6" i="28"/>
  <c r="H19" i="31"/>
  <c r="J19" i="31"/>
  <c r="K19" i="31"/>
  <c r="A20" i="31"/>
  <c r="E19" i="31"/>
  <c r="F19" i="31"/>
  <c r="C19" i="31"/>
  <c r="B19" i="31"/>
  <c r="A21" i="30"/>
  <c r="H20" i="30"/>
  <c r="K20" i="30"/>
  <c r="J20" i="30"/>
  <c r="D24" i="4"/>
  <c r="D95" i="4"/>
  <c r="D86" i="4" l="1"/>
  <c r="D38" i="4"/>
  <c r="A21" i="31"/>
  <c r="E20" i="31"/>
  <c r="G20" i="31"/>
  <c r="K20" i="31"/>
  <c r="B20" i="31"/>
  <c r="C20" i="31"/>
  <c r="H20" i="31"/>
  <c r="J20" i="31"/>
  <c r="H21" i="30"/>
  <c r="J21" i="30"/>
  <c r="K21" i="30"/>
  <c r="A22" i="30"/>
  <c r="H7" i="12"/>
  <c r="H6" i="12"/>
  <c r="H5" i="12"/>
  <c r="H8" i="12"/>
  <c r="H4" i="12"/>
  <c r="D23" i="12"/>
  <c r="E23" i="12" s="1"/>
  <c r="C6" i="12"/>
  <c r="D6" i="12" s="1"/>
  <c r="K21" i="31" l="1"/>
  <c r="B21" i="31"/>
  <c r="C21" i="31"/>
  <c r="E21" i="31"/>
  <c r="F21" i="31"/>
  <c r="H21" i="31"/>
  <c r="J21" i="31"/>
  <c r="A22" i="31"/>
  <c r="K22" i="30"/>
  <c r="A23" i="30"/>
  <c r="H22" i="30"/>
  <c r="J22" i="30"/>
  <c r="D96" i="4"/>
  <c r="D99" i="4"/>
  <c r="G22" i="31" l="1"/>
  <c r="H22" i="31"/>
  <c r="J22" i="31"/>
  <c r="E22" i="31"/>
  <c r="K22" i="31"/>
  <c r="A23" i="31"/>
  <c r="C22" i="31"/>
  <c r="B22" i="31"/>
  <c r="J23" i="30"/>
  <c r="K23" i="30"/>
  <c r="A24" i="30"/>
  <c r="H23" i="30"/>
  <c r="E6" i="12"/>
  <c r="E5" i="12"/>
  <c r="C23" i="31" l="1"/>
  <c r="A24" i="31"/>
  <c r="E23" i="31"/>
  <c r="H23" i="31"/>
  <c r="K23" i="31"/>
  <c r="B23" i="31"/>
  <c r="F23" i="31"/>
  <c r="J23" i="31"/>
  <c r="H24" i="30"/>
  <c r="J24" i="30"/>
  <c r="K24" i="30"/>
  <c r="A25" i="30"/>
  <c r="D25" i="12"/>
  <c r="E25" i="12" s="1"/>
  <c r="C8" i="12" s="1"/>
  <c r="D8" i="12" s="1"/>
  <c r="D24" i="12"/>
  <c r="E24" i="12" s="1"/>
  <c r="C7" i="12" s="1"/>
  <c r="D7" i="12" s="1"/>
  <c r="D22" i="12"/>
  <c r="E22" i="12" s="1"/>
  <c r="C5" i="12" s="1"/>
  <c r="D5" i="12" s="1"/>
  <c r="D21" i="12"/>
  <c r="C17" i="12"/>
  <c r="C18" i="12"/>
  <c r="C16" i="12"/>
  <c r="C14" i="12"/>
  <c r="C39" i="12"/>
  <c r="J24" i="31" l="1"/>
  <c r="K24" i="31"/>
  <c r="B24" i="31"/>
  <c r="H24" i="31"/>
  <c r="A25" i="31"/>
  <c r="E24" i="31"/>
  <c r="G24" i="31"/>
  <c r="C24" i="31"/>
  <c r="H25" i="30"/>
  <c r="K25" i="30"/>
  <c r="A26" i="30"/>
  <c r="J25" i="30"/>
  <c r="E21" i="12"/>
  <c r="C4" i="12" s="1"/>
  <c r="D4" i="12" s="1"/>
  <c r="D26" i="12"/>
  <c r="E25" i="31" l="1"/>
  <c r="F25" i="31"/>
  <c r="H25" i="31"/>
  <c r="B25" i="31"/>
  <c r="C25" i="31"/>
  <c r="A26" i="31"/>
  <c r="J25" i="31"/>
  <c r="K25" i="31"/>
  <c r="J26" i="30"/>
  <c r="A27" i="30"/>
  <c r="K26" i="30"/>
  <c r="H26" i="30"/>
  <c r="B99" i="23"/>
  <c r="A98" i="23"/>
  <c r="A97" i="23"/>
  <c r="A96" i="23"/>
  <c r="A95" i="23"/>
  <c r="C92" i="23"/>
  <c r="B92" i="23"/>
  <c r="A91" i="23"/>
  <c r="A90" i="23"/>
  <c r="A89" i="23"/>
  <c r="A88" i="23"/>
  <c r="A87" i="23"/>
  <c r="A86" i="23"/>
  <c r="A85" i="23"/>
  <c r="A84" i="23"/>
  <c r="B83" i="23"/>
  <c r="A83" i="23" s="1"/>
  <c r="A82" i="23"/>
  <c r="A81" i="23"/>
  <c r="A80" i="23"/>
  <c r="C79" i="23"/>
  <c r="A79" i="23"/>
  <c r="C78" i="23"/>
  <c r="A78" i="23"/>
  <c r="C77" i="23"/>
  <c r="A77" i="23"/>
  <c r="A76" i="23"/>
  <c r="C72" i="23"/>
  <c r="B71" i="23"/>
  <c r="A71" i="23" s="1"/>
  <c r="B70" i="23"/>
  <c r="A70" i="23" s="1"/>
  <c r="A69" i="23"/>
  <c r="B68" i="23"/>
  <c r="A68" i="23" s="1"/>
  <c r="B67" i="23"/>
  <c r="A67" i="23"/>
  <c r="A60" i="23"/>
  <c r="A59" i="23"/>
  <c r="A58" i="23"/>
  <c r="A57" i="23"/>
  <c r="A56" i="23"/>
  <c r="A55" i="23"/>
  <c r="B54" i="23"/>
  <c r="A54" i="23"/>
  <c r="A53" i="23"/>
  <c r="A52" i="23"/>
  <c r="A51" i="23"/>
  <c r="B49" i="23"/>
  <c r="C48" i="23"/>
  <c r="A48" i="23"/>
  <c r="A47" i="23"/>
  <c r="A46" i="23"/>
  <c r="C44" i="23"/>
  <c r="B44" i="23"/>
  <c r="A43" i="23"/>
  <c r="A42" i="23"/>
  <c r="A39" i="23"/>
  <c r="A36" i="23"/>
  <c r="A35" i="23"/>
  <c r="A34" i="23"/>
  <c r="A33" i="23"/>
  <c r="A32" i="23"/>
  <c r="B31" i="23"/>
  <c r="B37" i="23" s="1"/>
  <c r="A30" i="23"/>
  <c r="A29" i="23"/>
  <c r="A28" i="23"/>
  <c r="A26" i="23"/>
  <c r="A25" i="23"/>
  <c r="C23" i="23"/>
  <c r="C37" i="23" s="1"/>
  <c r="A23" i="23"/>
  <c r="A22" i="23"/>
  <c r="A20" i="23"/>
  <c r="A19" i="23"/>
  <c r="A17" i="23"/>
  <c r="A16" i="23"/>
  <c r="A15" i="23"/>
  <c r="A14" i="23"/>
  <c r="A13" i="23"/>
  <c r="A9" i="23"/>
  <c r="A8" i="23"/>
  <c r="A6" i="23"/>
  <c r="A5" i="23"/>
  <c r="B4" i="23"/>
  <c r="B10" i="23" s="1"/>
  <c r="A3" i="23"/>
  <c r="A4" i="23" l="1"/>
  <c r="A99" i="23"/>
  <c r="B26" i="31"/>
  <c r="C26" i="31"/>
  <c r="A27" i="31"/>
  <c r="G26" i="31"/>
  <c r="H26" i="31"/>
  <c r="J26" i="31"/>
  <c r="K26" i="31"/>
  <c r="E26" i="31"/>
  <c r="A28" i="30"/>
  <c r="H27" i="30"/>
  <c r="J27" i="30"/>
  <c r="K27" i="30"/>
  <c r="A31" i="23"/>
  <c r="B61" i="23"/>
  <c r="B62" i="23" s="1"/>
  <c r="B93" i="23"/>
  <c r="B100" i="23" s="1"/>
  <c r="A10" i="23"/>
  <c r="B72" i="23"/>
  <c r="C61" i="23"/>
  <c r="A61" i="23"/>
  <c r="A37" i="23"/>
  <c r="A72" i="23"/>
  <c r="A92" i="23"/>
  <c r="A93" i="23" s="1"/>
  <c r="A100" i="23" s="1"/>
  <c r="C83" i="23"/>
  <c r="C93" i="23" s="1"/>
  <c r="H27" i="31" l="1"/>
  <c r="J27" i="31"/>
  <c r="K27" i="31"/>
  <c r="B27" i="31"/>
  <c r="A28" i="31"/>
  <c r="C27" i="31"/>
  <c r="E27" i="31"/>
  <c r="F27" i="31"/>
  <c r="A29" i="30"/>
  <c r="J28" i="30"/>
  <c r="H28" i="30"/>
  <c r="K28" i="30"/>
  <c r="B73" i="23"/>
  <c r="A62" i="23"/>
  <c r="A73" i="23" s="1"/>
  <c r="A29" i="31" l="1"/>
  <c r="E28" i="31"/>
  <c r="G28" i="31"/>
  <c r="B28" i="31"/>
  <c r="H28" i="31"/>
  <c r="J28" i="31"/>
  <c r="C28" i="31"/>
  <c r="K28" i="31"/>
  <c r="A30" i="30"/>
  <c r="H29" i="30"/>
  <c r="J29" i="30"/>
  <c r="K29" i="30"/>
  <c r="K29" i="31" l="1"/>
  <c r="B29" i="31"/>
  <c r="C29" i="31"/>
  <c r="E29" i="31"/>
  <c r="J29" i="31"/>
  <c r="A30" i="31"/>
  <c r="F29" i="31"/>
  <c r="H29" i="31"/>
  <c r="K30" i="30"/>
  <c r="A31" i="30"/>
  <c r="H30" i="30"/>
  <c r="J30" i="30"/>
  <c r="C36" i="12"/>
  <c r="E4" i="12" s="1"/>
  <c r="G30" i="31" l="1"/>
  <c r="H30" i="31"/>
  <c r="J30" i="31"/>
  <c r="E30" i="31"/>
  <c r="K30" i="31"/>
  <c r="B30" i="31"/>
  <c r="C30" i="31"/>
  <c r="A31" i="31"/>
  <c r="J31" i="30"/>
  <c r="K31" i="30"/>
  <c r="H31" i="30"/>
  <c r="A32" i="30"/>
  <c r="C20" i="22"/>
  <c r="F19" i="22"/>
  <c r="C19" i="22"/>
  <c r="F18" i="22"/>
  <c r="C18" i="22"/>
  <c r="F17" i="22"/>
  <c r="C17" i="22"/>
  <c r="E16" i="22"/>
  <c r="C16" i="22"/>
  <c r="F16" i="22" s="1"/>
  <c r="F15" i="22"/>
  <c r="C15" i="22"/>
  <c r="C14" i="22"/>
  <c r="F11" i="22"/>
  <c r="C10" i="22"/>
  <c r="C8" i="22"/>
  <c r="F7" i="22"/>
  <c r="C7" i="22"/>
  <c r="F6" i="22"/>
  <c r="C6" i="22"/>
  <c r="F5" i="22"/>
  <c r="C5" i="22"/>
  <c r="E4" i="22"/>
  <c r="E12" i="22" s="1"/>
  <c r="C4" i="22"/>
  <c r="F4" i="22" s="1"/>
  <c r="F3" i="22"/>
  <c r="C3" i="22"/>
  <c r="C2" i="22"/>
  <c r="C31" i="31" l="1"/>
  <c r="A32" i="31"/>
  <c r="E31" i="31"/>
  <c r="J31" i="31"/>
  <c r="K31" i="31"/>
  <c r="F31" i="31"/>
  <c r="H31" i="31"/>
  <c r="B31" i="31"/>
  <c r="H32" i="30"/>
  <c r="J32" i="30"/>
  <c r="E32" i="30"/>
  <c r="G32" i="30"/>
  <c r="A33" i="30"/>
  <c r="K32" i="30"/>
  <c r="F12" i="22"/>
  <c r="C12" i="22"/>
  <c r="C111" i="4"/>
  <c r="C117" i="4" s="1"/>
  <c r="D101" i="4"/>
  <c r="J32" i="31" l="1"/>
  <c r="K32" i="31"/>
  <c r="B32" i="31"/>
  <c r="C32" i="31"/>
  <c r="H32" i="31"/>
  <c r="A33" i="31"/>
  <c r="E32" i="31"/>
  <c r="G32" i="31"/>
  <c r="F33" i="30"/>
  <c r="H33" i="30"/>
  <c r="K33" i="30"/>
  <c r="E33" i="30"/>
  <c r="J33" i="30"/>
  <c r="A34" i="30"/>
  <c r="D100" i="4"/>
  <c r="C98" i="23"/>
  <c r="D102" i="4" l="1"/>
  <c r="E33" i="31"/>
  <c r="F33" i="31"/>
  <c r="H33" i="31"/>
  <c r="B33" i="31"/>
  <c r="C33" i="31"/>
  <c r="K33" i="31"/>
  <c r="J33" i="31"/>
  <c r="A34" i="31"/>
  <c r="E34" i="30"/>
  <c r="G34" i="30"/>
  <c r="J34" i="30"/>
  <c r="A35" i="30"/>
  <c r="H34" i="30"/>
  <c r="K34" i="30"/>
  <c r="F7" i="12"/>
  <c r="I7" i="12" s="1"/>
  <c r="F8" i="12"/>
  <c r="I8" i="12" s="1"/>
  <c r="F5" i="12"/>
  <c r="I5" i="12" s="1"/>
  <c r="F4" i="12"/>
  <c r="I4" i="12" s="1"/>
  <c r="D103" i="4" l="1"/>
  <c r="B34" i="31"/>
  <c r="C34" i="31"/>
  <c r="A35" i="31"/>
  <c r="G34" i="31"/>
  <c r="H34" i="31"/>
  <c r="E34" i="31"/>
  <c r="J34" i="31"/>
  <c r="K34" i="31"/>
  <c r="A36" i="30"/>
  <c r="E35" i="30"/>
  <c r="H35" i="30"/>
  <c r="K35" i="30"/>
  <c r="F35" i="30"/>
  <c r="J35" i="30"/>
  <c r="H9" i="12"/>
  <c r="J8" i="12"/>
  <c r="K8" i="12"/>
  <c r="L8" i="12"/>
  <c r="G8" i="12"/>
  <c r="K7" i="12"/>
  <c r="G7" i="12"/>
  <c r="L7" i="12"/>
  <c r="J7" i="12"/>
  <c r="F6" i="12"/>
  <c r="I6" i="12" s="1"/>
  <c r="G5" i="12"/>
  <c r="L5" i="12"/>
  <c r="J5" i="12"/>
  <c r="K5" i="12"/>
  <c r="E9" i="12"/>
  <c r="J4" i="12"/>
  <c r="G4" i="12"/>
  <c r="K4" i="12"/>
  <c r="L4" i="12"/>
  <c r="H18" i="12"/>
  <c r="H17" i="12"/>
  <c r="H16" i="12"/>
  <c r="H15" i="12"/>
  <c r="H14" i="12"/>
  <c r="H35" i="31" l="1"/>
  <c r="J35" i="31"/>
  <c r="K35" i="31"/>
  <c r="C35" i="31"/>
  <c r="E35" i="31"/>
  <c r="F35" i="31"/>
  <c r="B35" i="31"/>
  <c r="A36" i="31"/>
  <c r="A37" i="30"/>
  <c r="G36" i="30"/>
  <c r="J36" i="30"/>
  <c r="E36" i="30"/>
  <c r="H36" i="30"/>
  <c r="K36" i="30"/>
  <c r="F9" i="12"/>
  <c r="M7" i="12"/>
  <c r="M8" i="12"/>
  <c r="D9" i="12"/>
  <c r="M5" i="12"/>
  <c r="K6" i="12"/>
  <c r="K9" i="12" s="1"/>
  <c r="I9" i="12"/>
  <c r="G6" i="12"/>
  <c r="G9" i="12" s="1"/>
  <c r="J6" i="12"/>
  <c r="J9" i="12" s="1"/>
  <c r="L6" i="12"/>
  <c r="L9" i="12" s="1"/>
  <c r="M4" i="12"/>
  <c r="A37" i="31" l="1"/>
  <c r="E36" i="31"/>
  <c r="G36" i="31"/>
  <c r="C36" i="31"/>
  <c r="K36" i="31"/>
  <c r="B36" i="31"/>
  <c r="H36" i="31"/>
  <c r="J36" i="31"/>
  <c r="E37" i="30"/>
  <c r="A38" i="30"/>
  <c r="F37" i="30"/>
  <c r="H37" i="30"/>
  <c r="J37" i="30"/>
  <c r="K37" i="30"/>
  <c r="M6" i="12"/>
  <c r="M9" i="12" s="1"/>
  <c r="K37" i="31" l="1"/>
  <c r="B37" i="31"/>
  <c r="C37" i="31"/>
  <c r="F37" i="31"/>
  <c r="E37" i="31"/>
  <c r="H37" i="31"/>
  <c r="J37" i="31"/>
  <c r="A38" i="31"/>
  <c r="K38" i="30"/>
  <c r="A39" i="30"/>
  <c r="H38" i="30"/>
  <c r="E38" i="30"/>
  <c r="J38" i="30"/>
  <c r="G38" i="30"/>
  <c r="D60" i="16"/>
  <c r="G38" i="31" l="1"/>
  <c r="H38" i="31"/>
  <c r="J38" i="31"/>
  <c r="K38" i="31"/>
  <c r="E38" i="31"/>
  <c r="A39" i="31"/>
  <c r="B38" i="31"/>
  <c r="C38" i="31"/>
  <c r="J39" i="30"/>
  <c r="K39" i="30"/>
  <c r="A40" i="30"/>
  <c r="F39" i="30"/>
  <c r="E39" i="30"/>
  <c r="H39" i="30"/>
  <c r="C95" i="23"/>
  <c r="C99" i="23" s="1"/>
  <c r="C100" i="23" s="1"/>
  <c r="C39" i="31" l="1"/>
  <c r="A40" i="31"/>
  <c r="E39" i="31"/>
  <c r="K39" i="31"/>
  <c r="J39" i="31"/>
  <c r="B39" i="31"/>
  <c r="F39" i="31"/>
  <c r="H39" i="31"/>
  <c r="H40" i="30"/>
  <c r="J40" i="30"/>
  <c r="A41" i="30"/>
  <c r="G40" i="30"/>
  <c r="K40" i="30"/>
  <c r="E40" i="30"/>
  <c r="J40" i="31" l="1"/>
  <c r="K40" i="31"/>
  <c r="B40" i="31"/>
  <c r="A41" i="31"/>
  <c r="H40" i="31"/>
  <c r="E40" i="31"/>
  <c r="G40" i="31"/>
  <c r="C40" i="31"/>
  <c r="F41" i="30"/>
  <c r="H41" i="30"/>
  <c r="K41" i="30"/>
  <c r="E41" i="30"/>
  <c r="J41" i="30"/>
  <c r="A42" i="30"/>
  <c r="E41" i="31" l="1"/>
  <c r="F41" i="31"/>
  <c r="H41" i="31"/>
  <c r="A42" i="31"/>
  <c r="B41" i="31"/>
  <c r="C41" i="31"/>
  <c r="K41" i="31"/>
  <c r="J41" i="31"/>
  <c r="E42" i="30"/>
  <c r="G42" i="30"/>
  <c r="J42" i="30"/>
  <c r="A43" i="30"/>
  <c r="H42" i="30"/>
  <c r="K42" i="30"/>
  <c r="H35" i="16"/>
  <c r="B42" i="31" l="1"/>
  <c r="C42" i="31"/>
  <c r="A43" i="31"/>
  <c r="G42" i="31"/>
  <c r="H42" i="31"/>
  <c r="J42" i="31"/>
  <c r="K42" i="31"/>
  <c r="E42" i="31"/>
  <c r="A44" i="30"/>
  <c r="E43" i="30"/>
  <c r="H43" i="30"/>
  <c r="K43" i="30"/>
  <c r="F43" i="30"/>
  <c r="J43" i="30"/>
  <c r="F41" i="16"/>
  <c r="H43" i="31" l="1"/>
  <c r="J43" i="31"/>
  <c r="K43" i="31"/>
  <c r="A44" i="31"/>
  <c r="C43" i="31"/>
  <c r="E43" i="31"/>
  <c r="B43" i="31"/>
  <c r="F43" i="31"/>
  <c r="A45" i="30"/>
  <c r="G44" i="30"/>
  <c r="E44" i="30"/>
  <c r="K44" i="30"/>
  <c r="H44" i="30"/>
  <c r="J44" i="30"/>
  <c r="G20" i="16"/>
  <c r="G22" i="16"/>
  <c r="A45" i="31" l="1"/>
  <c r="E44" i="31"/>
  <c r="G44" i="31"/>
  <c r="H44" i="31"/>
  <c r="C44" i="31"/>
  <c r="J44" i="31"/>
  <c r="B44" i="31"/>
  <c r="K44" i="31"/>
  <c r="E45" i="30"/>
  <c r="J45" i="30"/>
  <c r="F45" i="30"/>
  <c r="K45" i="30"/>
  <c r="H45" i="30"/>
  <c r="A46" i="30"/>
  <c r="K45" i="31" l="1"/>
  <c r="B45" i="31"/>
  <c r="C45" i="31"/>
  <c r="H45" i="31"/>
  <c r="J45" i="31"/>
  <c r="A46" i="31"/>
  <c r="E45" i="31"/>
  <c r="F45" i="31"/>
  <c r="K46" i="30"/>
  <c r="A47" i="30"/>
  <c r="H46" i="30"/>
  <c r="J46" i="30"/>
  <c r="E46" i="30"/>
  <c r="G46" i="30"/>
  <c r="L20" i="16"/>
  <c r="K20" i="16"/>
  <c r="J20" i="16"/>
  <c r="I20" i="16"/>
  <c r="E18" i="16"/>
  <c r="E60" i="16"/>
  <c r="G46" i="31" l="1"/>
  <c r="H46" i="31"/>
  <c r="J46" i="31"/>
  <c r="E46" i="31"/>
  <c r="B46" i="31"/>
  <c r="C46" i="31"/>
  <c r="K46" i="31"/>
  <c r="A47" i="31"/>
  <c r="J47" i="30"/>
  <c r="K47" i="30"/>
  <c r="A48" i="30"/>
  <c r="E47" i="30"/>
  <c r="F47" i="30"/>
  <c r="H47" i="30"/>
  <c r="L35" i="16"/>
  <c r="I35" i="16"/>
  <c r="J35" i="16"/>
  <c r="K35" i="16"/>
  <c r="F60" i="16"/>
  <c r="G60" i="16" s="1"/>
  <c r="H60" i="16" s="1"/>
  <c r="I60" i="16" s="1"/>
  <c r="J60" i="16" s="1"/>
  <c r="K60" i="16" s="1"/>
  <c r="L60" i="16" s="1"/>
  <c r="E61" i="16"/>
  <c r="C47" i="31" l="1"/>
  <c r="A48" i="31"/>
  <c r="E47" i="31"/>
  <c r="J47" i="31"/>
  <c r="K47" i="31"/>
  <c r="F47" i="31"/>
  <c r="B47" i="31"/>
  <c r="H47" i="31"/>
  <c r="H48" i="30"/>
  <c r="J48" i="30"/>
  <c r="G48" i="30"/>
  <c r="K48" i="30"/>
  <c r="A49" i="30"/>
  <c r="E48" i="30"/>
  <c r="L12" i="17"/>
  <c r="L8" i="17"/>
  <c r="J48" i="31" l="1"/>
  <c r="K48" i="31"/>
  <c r="B48" i="31"/>
  <c r="A49" i="31"/>
  <c r="C48" i="31"/>
  <c r="H48" i="31"/>
  <c r="E48" i="31"/>
  <c r="G48" i="31"/>
  <c r="F49" i="30"/>
  <c r="H49" i="30"/>
  <c r="K49" i="30"/>
  <c r="E49" i="30"/>
  <c r="J49" i="30"/>
  <c r="A50" i="30"/>
  <c r="I22" i="16"/>
  <c r="J22" i="16"/>
  <c r="L22" i="16"/>
  <c r="H22" i="16"/>
  <c r="K22" i="16"/>
  <c r="E36" i="16"/>
  <c r="H36" i="16"/>
  <c r="K91" i="17"/>
  <c r="E14" i="21"/>
  <c r="D14" i="21"/>
  <c r="H13" i="21"/>
  <c r="I13" i="21" s="1"/>
  <c r="J13" i="21" s="1"/>
  <c r="K13" i="21" s="1"/>
  <c r="L13" i="21" s="1"/>
  <c r="H12" i="21"/>
  <c r="I12" i="21" s="1"/>
  <c r="J12" i="21" s="1"/>
  <c r="K12" i="21" s="1"/>
  <c r="L12" i="21" s="1"/>
  <c r="H11" i="21"/>
  <c r="I11" i="21" s="1"/>
  <c r="J11" i="21" s="1"/>
  <c r="K11" i="21" s="1"/>
  <c r="L11" i="21" s="1"/>
  <c r="F11" i="21"/>
  <c r="F14" i="21" s="1"/>
  <c r="H10" i="21"/>
  <c r="I10" i="21" s="1"/>
  <c r="J10" i="21" s="1"/>
  <c r="K10" i="21" s="1"/>
  <c r="L10" i="21" s="1"/>
  <c r="G9" i="21"/>
  <c r="H9" i="21" s="1"/>
  <c r="I9" i="21" s="1"/>
  <c r="J9" i="21" s="1"/>
  <c r="K9" i="21" s="1"/>
  <c r="L9" i="21" s="1"/>
  <c r="G8" i="21"/>
  <c r="H8" i="21" s="1"/>
  <c r="I8" i="21" s="1"/>
  <c r="J8" i="21" s="1"/>
  <c r="K8" i="21" s="1"/>
  <c r="L8" i="21" s="1"/>
  <c r="G7" i="21"/>
  <c r="H7" i="21" s="1"/>
  <c r="E22" i="16"/>
  <c r="E49" i="31" l="1"/>
  <c r="F49" i="31"/>
  <c r="H49" i="31"/>
  <c r="B49" i="31"/>
  <c r="C49" i="31"/>
  <c r="K49" i="31"/>
  <c r="J49" i="31"/>
  <c r="A50" i="31"/>
  <c r="E50" i="30"/>
  <c r="G50" i="30"/>
  <c r="J50" i="30"/>
  <c r="H50" i="30"/>
  <c r="K50" i="30"/>
  <c r="A51" i="30"/>
  <c r="G14" i="21"/>
  <c r="H14" i="21"/>
  <c r="I7" i="21"/>
  <c r="B50" i="31" l="1"/>
  <c r="C50" i="31"/>
  <c r="A51" i="31"/>
  <c r="E50" i="31"/>
  <c r="G50" i="31"/>
  <c r="H50" i="31"/>
  <c r="J50" i="31"/>
  <c r="K50" i="31"/>
  <c r="A52" i="30"/>
  <c r="E51" i="30"/>
  <c r="H51" i="30"/>
  <c r="F51" i="30"/>
  <c r="J51" i="30"/>
  <c r="K51" i="30"/>
  <c r="I14" i="21"/>
  <c r="J7" i="21"/>
  <c r="H51" i="31" l="1"/>
  <c r="J51" i="31"/>
  <c r="K51" i="31"/>
  <c r="E51" i="31"/>
  <c r="F51" i="31"/>
  <c r="B51" i="31"/>
  <c r="A52" i="31"/>
  <c r="C51" i="31"/>
  <c r="A53" i="30"/>
  <c r="G52" i="30"/>
  <c r="K52" i="30"/>
  <c r="E52" i="30"/>
  <c r="H52" i="30"/>
  <c r="J52" i="30"/>
  <c r="J14" i="21"/>
  <c r="K7" i="21"/>
  <c r="A53" i="31" l="1"/>
  <c r="E52" i="31"/>
  <c r="G52" i="31"/>
  <c r="J52" i="31"/>
  <c r="K52" i="31"/>
  <c r="B52" i="31"/>
  <c r="C52" i="31"/>
  <c r="H52" i="31"/>
  <c r="E53" i="30"/>
  <c r="J53" i="30"/>
  <c r="F53" i="30"/>
  <c r="H53" i="30"/>
  <c r="K53" i="30"/>
  <c r="A54" i="30"/>
  <c r="K14" i="21"/>
  <c r="L7" i="21"/>
  <c r="L14" i="21" s="1"/>
  <c r="K53" i="31" l="1"/>
  <c r="B53" i="31"/>
  <c r="C53" i="31"/>
  <c r="J53" i="31"/>
  <c r="E53" i="31"/>
  <c r="F53" i="31"/>
  <c r="H53" i="31"/>
  <c r="A54" i="31"/>
  <c r="K54" i="30"/>
  <c r="A55" i="30"/>
  <c r="E54" i="30"/>
  <c r="G54" i="30"/>
  <c r="H54" i="30"/>
  <c r="J54" i="30"/>
  <c r="E21" i="16"/>
  <c r="E34" i="16"/>
  <c r="F70" i="19"/>
  <c r="F69" i="19" s="1"/>
  <c r="L66" i="19"/>
  <c r="K66" i="19"/>
  <c r="J66" i="19"/>
  <c r="I66" i="19"/>
  <c r="H66" i="19"/>
  <c r="G66" i="19"/>
  <c r="F66" i="19"/>
  <c r="E66" i="19"/>
  <c r="D66" i="19"/>
  <c r="C66" i="19"/>
  <c r="B66" i="19"/>
  <c r="K64" i="19"/>
  <c r="J64" i="19"/>
  <c r="I64" i="19"/>
  <c r="E64" i="19"/>
  <c r="D64" i="19"/>
  <c r="C64" i="19"/>
  <c r="L63" i="19"/>
  <c r="F63" i="19"/>
  <c r="L62" i="19"/>
  <c r="AP39" i="19" s="1"/>
  <c r="F62" i="19"/>
  <c r="G88" i="19" s="1"/>
  <c r="L61" i="19"/>
  <c r="AO39" i="19" s="1"/>
  <c r="F61" i="19"/>
  <c r="G87" i="19" s="1"/>
  <c r="L60" i="19"/>
  <c r="AN39" i="19" s="1"/>
  <c r="F60" i="19"/>
  <c r="V111" i="19" s="1"/>
  <c r="L59" i="19"/>
  <c r="W110" i="19" s="1"/>
  <c r="F59" i="19"/>
  <c r="AM38" i="19" s="1"/>
  <c r="L58" i="19"/>
  <c r="F58" i="19"/>
  <c r="V109" i="19" s="1"/>
  <c r="L57" i="19"/>
  <c r="W108" i="19" s="1"/>
  <c r="F57" i="19"/>
  <c r="V108" i="19" s="1"/>
  <c r="L56" i="19"/>
  <c r="F56" i="19"/>
  <c r="V107" i="19" s="1"/>
  <c r="L55" i="19"/>
  <c r="W106" i="19" s="1"/>
  <c r="F55" i="19"/>
  <c r="G81" i="19" s="1"/>
  <c r="L54" i="19"/>
  <c r="F54" i="19"/>
  <c r="V105" i="19" s="1"/>
  <c r="L53" i="19"/>
  <c r="W104" i="19" s="1"/>
  <c r="F53" i="19"/>
  <c r="V104" i="19" s="1"/>
  <c r="L52" i="19"/>
  <c r="F52" i="19"/>
  <c r="V103" i="19" s="1"/>
  <c r="L51" i="19"/>
  <c r="W102" i="19" s="1"/>
  <c r="F51" i="19"/>
  <c r="G77" i="19" s="1"/>
  <c r="L50" i="19"/>
  <c r="F50" i="19"/>
  <c r="V101" i="19" s="1"/>
  <c r="L49" i="19"/>
  <c r="W100" i="19" s="1"/>
  <c r="F49" i="19"/>
  <c r="V100" i="19" s="1"/>
  <c r="L48" i="19"/>
  <c r="AB39" i="19" s="1"/>
  <c r="F48" i="19"/>
  <c r="V99" i="19" s="1"/>
  <c r="L47" i="19"/>
  <c r="W98" i="19" s="1"/>
  <c r="F47" i="19"/>
  <c r="L46" i="19"/>
  <c r="F46" i="19"/>
  <c r="V97" i="19" s="1"/>
  <c r="L45" i="19"/>
  <c r="W96" i="19" s="1"/>
  <c r="F45" i="19"/>
  <c r="V96" i="19" s="1"/>
  <c r="L44" i="19"/>
  <c r="X39" i="19" s="1"/>
  <c r="H44" i="19"/>
  <c r="H45" i="19" s="1"/>
  <c r="H46" i="19" s="1"/>
  <c r="H47" i="19" s="1"/>
  <c r="H48" i="19" s="1"/>
  <c r="H49" i="19" s="1"/>
  <c r="H50" i="19" s="1"/>
  <c r="H51" i="19" s="1"/>
  <c r="H52" i="19" s="1"/>
  <c r="H53" i="19" s="1"/>
  <c r="H54" i="19" s="1"/>
  <c r="H55" i="19" s="1"/>
  <c r="H56" i="19" s="1"/>
  <c r="H57" i="19" s="1"/>
  <c r="H58" i="19" s="1"/>
  <c r="H59" i="19" s="1"/>
  <c r="H60" i="19" s="1"/>
  <c r="H61" i="19" s="1"/>
  <c r="H62" i="19" s="1"/>
  <c r="H63" i="19" s="1"/>
  <c r="F44" i="19"/>
  <c r="V95" i="19" s="1"/>
  <c r="B44" i="19"/>
  <c r="B45" i="19" s="1"/>
  <c r="B46" i="19" s="1"/>
  <c r="B47" i="19" s="1"/>
  <c r="B48" i="19" s="1"/>
  <c r="B49" i="19" s="1"/>
  <c r="B50" i="19" s="1"/>
  <c r="B51" i="19" s="1"/>
  <c r="B52" i="19" s="1"/>
  <c r="B53" i="19" s="1"/>
  <c r="B54" i="19" s="1"/>
  <c r="B55" i="19" s="1"/>
  <c r="B56" i="19" s="1"/>
  <c r="B57" i="19" s="1"/>
  <c r="B58" i="19" s="1"/>
  <c r="B59" i="19" s="1"/>
  <c r="B60" i="19" s="1"/>
  <c r="B61" i="19" s="1"/>
  <c r="B62" i="19" s="1"/>
  <c r="B63" i="19" s="1"/>
  <c r="L43" i="19"/>
  <c r="W39" i="19" s="1"/>
  <c r="F43" i="19"/>
  <c r="G69" i="19" s="1"/>
  <c r="AK39" i="19"/>
  <c r="K38" i="19"/>
  <c r="J38" i="19"/>
  <c r="I38" i="19"/>
  <c r="D38" i="19"/>
  <c r="C38" i="19"/>
  <c r="L37" i="19"/>
  <c r="F37" i="19"/>
  <c r="T106" i="19" s="1"/>
  <c r="L36" i="19"/>
  <c r="F36" i="19"/>
  <c r="T105" i="19" s="1"/>
  <c r="L35" i="19"/>
  <c r="F35" i="19"/>
  <c r="T104" i="19" s="1"/>
  <c r="L34" i="19"/>
  <c r="F34" i="19"/>
  <c r="L33" i="19"/>
  <c r="E33" i="19"/>
  <c r="F33" i="19" s="1"/>
  <c r="L32" i="19"/>
  <c r="E32" i="19"/>
  <c r="O35" i="19" s="1"/>
  <c r="O36" i="19" s="1"/>
  <c r="O39" i="19" s="1"/>
  <c r="L31" i="19"/>
  <c r="U108" i="19" s="1"/>
  <c r="E31" i="19"/>
  <c r="F31" i="19" s="1"/>
  <c r="E44" i="16" s="1"/>
  <c r="L30" i="19"/>
  <c r="U107" i="19" s="1"/>
  <c r="E30" i="19"/>
  <c r="F30" i="19" s="1"/>
  <c r="L29" i="19"/>
  <c r="U106" i="19" s="1"/>
  <c r="E29" i="19"/>
  <c r="F29" i="19" s="1"/>
  <c r="L28" i="19"/>
  <c r="AH37" i="19" s="1"/>
  <c r="J45" i="16" s="1"/>
  <c r="E28" i="19"/>
  <c r="F28" i="19" s="1"/>
  <c r="L27" i="19"/>
  <c r="U104" i="19" s="1"/>
  <c r="E27" i="19"/>
  <c r="F27" i="19" s="1"/>
  <c r="T96" i="19" s="1"/>
  <c r="L26" i="19"/>
  <c r="E26" i="19"/>
  <c r="F26" i="19" s="1"/>
  <c r="P25" i="19"/>
  <c r="P27" i="19" s="1"/>
  <c r="P26" i="19" s="1"/>
  <c r="L25" i="19"/>
  <c r="U102" i="19" s="1"/>
  <c r="E25" i="19"/>
  <c r="F25" i="19" s="1"/>
  <c r="W36" i="19" s="1"/>
  <c r="L24" i="19"/>
  <c r="AD37" i="19" s="1"/>
  <c r="F45" i="16" s="1"/>
  <c r="E24" i="19"/>
  <c r="F24" i="19" s="1"/>
  <c r="V36" i="19" s="1"/>
  <c r="L23" i="19"/>
  <c r="U100" i="19" s="1"/>
  <c r="E23" i="19"/>
  <c r="F23" i="19" s="1"/>
  <c r="U36" i="19" s="1"/>
  <c r="L22" i="19"/>
  <c r="E22" i="19"/>
  <c r="F22" i="19" s="1"/>
  <c r="T36" i="19" s="1"/>
  <c r="L21" i="19"/>
  <c r="U98" i="19" s="1"/>
  <c r="E21" i="19"/>
  <c r="F21" i="19" s="1"/>
  <c r="S36" i="19" s="1"/>
  <c r="L20" i="19"/>
  <c r="Z37" i="19" s="1"/>
  <c r="E20" i="19"/>
  <c r="F20" i="19" s="1"/>
  <c r="R36" i="19" s="1"/>
  <c r="P19" i="19"/>
  <c r="P21" i="19" s="1"/>
  <c r="P20" i="19" s="1"/>
  <c r="L19" i="19"/>
  <c r="U96" i="19" s="1"/>
  <c r="E19" i="19"/>
  <c r="F19" i="19" s="1"/>
  <c r="L18" i="19"/>
  <c r="H18" i="19"/>
  <c r="H19" i="19" s="1"/>
  <c r="H20" i="19" s="1"/>
  <c r="H21" i="19" s="1"/>
  <c r="H22" i="19" s="1"/>
  <c r="H23" i="19" s="1"/>
  <c r="H24" i="19" s="1"/>
  <c r="H25" i="19" s="1"/>
  <c r="H26" i="19" s="1"/>
  <c r="H27" i="19" s="1"/>
  <c r="H28" i="19" s="1"/>
  <c r="H29" i="19" s="1"/>
  <c r="H30" i="19" s="1"/>
  <c r="E18" i="19"/>
  <c r="F18" i="19" s="1"/>
  <c r="B18" i="19"/>
  <c r="B19" i="19" s="1"/>
  <c r="B20" i="19" s="1"/>
  <c r="B21" i="19" s="1"/>
  <c r="B22" i="19" s="1"/>
  <c r="B23" i="19" s="1"/>
  <c r="B24" i="19" s="1"/>
  <c r="B25" i="19" s="1"/>
  <c r="B26" i="19" s="1"/>
  <c r="B27" i="19" s="1"/>
  <c r="B28" i="19" s="1"/>
  <c r="B29" i="19" s="1"/>
  <c r="B30" i="19" s="1"/>
  <c r="B31" i="19" s="1"/>
  <c r="B32" i="19" s="1"/>
  <c r="B33" i="19" s="1"/>
  <c r="B34" i="19" s="1"/>
  <c r="B35" i="19" s="1"/>
  <c r="B36" i="19" s="1"/>
  <c r="B37" i="19" s="1"/>
  <c r="L17" i="19"/>
  <c r="W37" i="19" s="1"/>
  <c r="E17" i="19"/>
  <c r="I13" i="19"/>
  <c r="L13" i="19" s="1"/>
  <c r="I12" i="19"/>
  <c r="L12" i="19" s="1"/>
  <c r="P11" i="19"/>
  <c r="P13" i="19" s="1"/>
  <c r="P12" i="19" s="1"/>
  <c r="I11" i="19"/>
  <c r="L11" i="19" s="1"/>
  <c r="I10" i="19"/>
  <c r="L10" i="19" s="1"/>
  <c r="I9" i="19"/>
  <c r="L9" i="19" s="1"/>
  <c r="I8" i="19"/>
  <c r="L8" i="19" s="1"/>
  <c r="I7" i="19"/>
  <c r="L7" i="19" s="1"/>
  <c r="P6" i="19"/>
  <c r="P8" i="19" s="1"/>
  <c r="I6" i="19"/>
  <c r="L6" i="19" s="1"/>
  <c r="H6" i="19"/>
  <c r="H7" i="19" s="1"/>
  <c r="H8" i="19" s="1"/>
  <c r="H9" i="19" s="1"/>
  <c r="H10" i="19" s="1"/>
  <c r="H11" i="19" s="1"/>
  <c r="H12" i="19" s="1"/>
  <c r="H13" i="19" s="1"/>
  <c r="I5" i="19"/>
  <c r="L5" i="19" s="1"/>
  <c r="B5" i="19"/>
  <c r="A3" i="19"/>
  <c r="A4" i="19" s="1"/>
  <c r="F36" i="16"/>
  <c r="N54" i="18"/>
  <c r="M54" i="18"/>
  <c r="L54" i="18"/>
  <c r="K54" i="18"/>
  <c r="J54" i="18"/>
  <c r="I54" i="18"/>
  <c r="H54" i="18"/>
  <c r="G54" i="18"/>
  <c r="F54" i="18"/>
  <c r="E54" i="18"/>
  <c r="D54" i="18"/>
  <c r="C54" i="18"/>
  <c r="B54" i="18"/>
  <c r="G48" i="18"/>
  <c r="H48" i="18" s="1"/>
  <c r="I48" i="18" s="1"/>
  <c r="J48" i="18" s="1"/>
  <c r="K48" i="18" s="1"/>
  <c r="L48" i="18" s="1"/>
  <c r="M48" i="18" s="1"/>
  <c r="N48" i="18" s="1"/>
  <c r="G45" i="18"/>
  <c r="H45" i="18" s="1"/>
  <c r="I45" i="18" s="1"/>
  <c r="N44" i="18"/>
  <c r="M44" i="18"/>
  <c r="L44" i="18"/>
  <c r="K44" i="18"/>
  <c r="J44" i="18"/>
  <c r="I44" i="18"/>
  <c r="H44" i="18"/>
  <c r="G44" i="18"/>
  <c r="F44" i="18"/>
  <c r="F46" i="18" s="1"/>
  <c r="G43" i="18"/>
  <c r="H43" i="18" s="1"/>
  <c r="I43" i="18" s="1"/>
  <c r="J43" i="18" s="1"/>
  <c r="K43" i="18" s="1"/>
  <c r="L43" i="18" s="1"/>
  <c r="M43" i="18" s="1"/>
  <c r="N43" i="18" s="1"/>
  <c r="G40" i="18"/>
  <c r="H40" i="18" s="1"/>
  <c r="I40" i="18" s="1"/>
  <c r="N39" i="18"/>
  <c r="M39" i="18"/>
  <c r="L39" i="18"/>
  <c r="K39" i="18"/>
  <c r="J39" i="18"/>
  <c r="I39" i="18"/>
  <c r="H39" i="18"/>
  <c r="G39" i="18"/>
  <c r="G41" i="18" s="1"/>
  <c r="F39" i="18"/>
  <c r="G38" i="18"/>
  <c r="H38" i="18" s="1"/>
  <c r="I38" i="18" s="1"/>
  <c r="J38" i="18" s="1"/>
  <c r="K38" i="18" s="1"/>
  <c r="L38" i="18" s="1"/>
  <c r="M38" i="18" s="1"/>
  <c r="N38" i="18" s="1"/>
  <c r="F34" i="18"/>
  <c r="G33" i="18"/>
  <c r="H33" i="18" s="1"/>
  <c r="I33" i="18" s="1"/>
  <c r="J33" i="18" s="1"/>
  <c r="K33" i="18" s="1"/>
  <c r="L33" i="18" s="1"/>
  <c r="M33" i="18" s="1"/>
  <c r="N33" i="18" s="1"/>
  <c r="G30" i="18"/>
  <c r="G29" i="18" s="1"/>
  <c r="F29" i="18"/>
  <c r="G28" i="18"/>
  <c r="H28" i="18" s="1"/>
  <c r="I28" i="18" s="1"/>
  <c r="J28" i="18" s="1"/>
  <c r="K28" i="18" s="1"/>
  <c r="L28" i="18" s="1"/>
  <c r="M28" i="18" s="1"/>
  <c r="N28" i="18" s="1"/>
  <c r="G25" i="18"/>
  <c r="H25" i="18" s="1"/>
  <c r="I25" i="18" s="1"/>
  <c r="N24" i="18"/>
  <c r="M24" i="18"/>
  <c r="L24" i="18"/>
  <c r="K24" i="18"/>
  <c r="J24" i="18"/>
  <c r="I24" i="18"/>
  <c r="H24" i="18"/>
  <c r="G24" i="18"/>
  <c r="G26" i="18" s="1"/>
  <c r="F24" i="18"/>
  <c r="F26" i="18" s="1"/>
  <c r="G23" i="18"/>
  <c r="H23" i="18" s="1"/>
  <c r="I23" i="18" s="1"/>
  <c r="J23" i="18" s="1"/>
  <c r="K23" i="18" s="1"/>
  <c r="L23" i="18" s="1"/>
  <c r="M23" i="18" s="1"/>
  <c r="N23" i="18" s="1"/>
  <c r="G20" i="18"/>
  <c r="H20" i="18" s="1"/>
  <c r="I20" i="18" s="1"/>
  <c r="N19" i="18"/>
  <c r="M19" i="18"/>
  <c r="L19" i="18"/>
  <c r="K19" i="18"/>
  <c r="J19" i="18"/>
  <c r="I19" i="18"/>
  <c r="H19" i="18"/>
  <c r="G19" i="18"/>
  <c r="G21" i="18" s="1"/>
  <c r="F19" i="18"/>
  <c r="F21" i="18" s="1"/>
  <c r="G18" i="18"/>
  <c r="H18" i="18" s="1"/>
  <c r="I18" i="18" s="1"/>
  <c r="J18" i="18" s="1"/>
  <c r="K18" i="18" s="1"/>
  <c r="L18" i="18" s="1"/>
  <c r="M18" i="18" s="1"/>
  <c r="N18" i="18" s="1"/>
  <c r="N13" i="18"/>
  <c r="M13" i="18"/>
  <c r="L13" i="18"/>
  <c r="K13" i="18"/>
  <c r="J13" i="18"/>
  <c r="I13" i="18"/>
  <c r="H13" i="18"/>
  <c r="G13" i="18"/>
  <c r="F13" i="18"/>
  <c r="G12" i="18"/>
  <c r="H12" i="18" s="1"/>
  <c r="I12" i="18" s="1"/>
  <c r="J12" i="18" s="1"/>
  <c r="K12" i="18" s="1"/>
  <c r="L12" i="18" s="1"/>
  <c r="M12" i="18" s="1"/>
  <c r="N12" i="18" s="1"/>
  <c r="N9" i="18"/>
  <c r="M9" i="18"/>
  <c r="L9" i="18"/>
  <c r="K9" i="18"/>
  <c r="J9" i="18"/>
  <c r="I9" i="18"/>
  <c r="H9" i="18"/>
  <c r="G9" i="18"/>
  <c r="F9" i="18"/>
  <c r="G8" i="18"/>
  <c r="H8" i="18" s="1"/>
  <c r="I8" i="18" s="1"/>
  <c r="J8" i="18" s="1"/>
  <c r="K8" i="18" s="1"/>
  <c r="L8" i="18" s="1"/>
  <c r="M8" i="18" s="1"/>
  <c r="N8" i="18" s="1"/>
  <c r="A5" i="18"/>
  <c r="A6" i="18" s="1"/>
  <c r="Q214" i="17"/>
  <c r="P214" i="17"/>
  <c r="O214" i="17"/>
  <c r="N214" i="17"/>
  <c r="M214" i="17"/>
  <c r="L214" i="17"/>
  <c r="K214" i="17"/>
  <c r="J214" i="17"/>
  <c r="I214" i="17"/>
  <c r="H214" i="17"/>
  <c r="G214" i="17"/>
  <c r="F214" i="17"/>
  <c r="E214" i="17"/>
  <c r="D214" i="17"/>
  <c r="C214" i="17"/>
  <c r="B214" i="17"/>
  <c r="C210" i="17"/>
  <c r="D210" i="17" s="1"/>
  <c r="C209" i="17"/>
  <c r="E209" i="17" s="1"/>
  <c r="C208" i="17"/>
  <c r="K208" i="17" s="1"/>
  <c r="C207" i="17"/>
  <c r="K207" i="17" s="1"/>
  <c r="C206" i="17"/>
  <c r="D206" i="17" s="1"/>
  <c r="C205" i="17"/>
  <c r="K205" i="17" s="1"/>
  <c r="C204" i="17"/>
  <c r="K204" i="17" s="1"/>
  <c r="C203" i="17"/>
  <c r="K203" i="17" s="1"/>
  <c r="C202" i="17"/>
  <c r="C201" i="17"/>
  <c r="K201" i="17" s="1"/>
  <c r="C200" i="17"/>
  <c r="K200" i="17" s="1"/>
  <c r="C199" i="17"/>
  <c r="K199" i="17" s="1"/>
  <c r="C198" i="17"/>
  <c r="E198" i="17" s="1"/>
  <c r="C197" i="17"/>
  <c r="K197" i="17" s="1"/>
  <c r="C196" i="17"/>
  <c r="K196" i="17" s="1"/>
  <c r="C195" i="17"/>
  <c r="E195" i="17" s="1"/>
  <c r="C194" i="17"/>
  <c r="E194" i="17" s="1"/>
  <c r="C193" i="17"/>
  <c r="J193" i="17" s="1"/>
  <c r="C189" i="17"/>
  <c r="K189" i="17" s="1"/>
  <c r="C188" i="17"/>
  <c r="D188" i="17" s="1"/>
  <c r="C187" i="17"/>
  <c r="C186" i="17"/>
  <c r="J186" i="17" s="1"/>
  <c r="C185" i="17"/>
  <c r="K185" i="17" s="1"/>
  <c r="C184" i="17"/>
  <c r="D184" i="17" s="1"/>
  <c r="C183" i="17"/>
  <c r="C182" i="17"/>
  <c r="J182" i="17" s="1"/>
  <c r="C181" i="17"/>
  <c r="K181" i="17" s="1"/>
  <c r="C180" i="17"/>
  <c r="D180" i="17" s="1"/>
  <c r="C179" i="17"/>
  <c r="C178" i="17"/>
  <c r="J178" i="17" s="1"/>
  <c r="C177" i="17"/>
  <c r="D177" i="17" s="1"/>
  <c r="C176" i="17"/>
  <c r="D176" i="17" s="1"/>
  <c r="C175" i="17"/>
  <c r="C174" i="17"/>
  <c r="J174" i="17" s="1"/>
  <c r="C173" i="17"/>
  <c r="K173" i="17" s="1"/>
  <c r="C172" i="17"/>
  <c r="D172" i="17" s="1"/>
  <c r="C171" i="17"/>
  <c r="C170" i="17"/>
  <c r="K170" i="17" s="1"/>
  <c r="C169" i="17"/>
  <c r="D169" i="17" s="1"/>
  <c r="C165" i="17"/>
  <c r="D165" i="17" s="1"/>
  <c r="C164" i="17"/>
  <c r="D164" i="17" s="1"/>
  <c r="C163" i="17"/>
  <c r="K163" i="17" s="1"/>
  <c r="C162" i="17"/>
  <c r="K162" i="17" s="1"/>
  <c r="C161" i="17"/>
  <c r="C160" i="17"/>
  <c r="J160" i="17" s="1"/>
  <c r="C159" i="17"/>
  <c r="K159" i="17" s="1"/>
  <c r="E157" i="17"/>
  <c r="F157" i="17" s="1"/>
  <c r="G157" i="17" s="1"/>
  <c r="H157" i="17" s="1"/>
  <c r="I157" i="17" s="1"/>
  <c r="J157" i="17" s="1"/>
  <c r="K157" i="17" s="1"/>
  <c r="L157" i="17" s="1"/>
  <c r="M157" i="17" s="1"/>
  <c r="N157" i="17" s="1"/>
  <c r="O157" i="17" s="1"/>
  <c r="P157" i="17" s="1"/>
  <c r="Q157" i="17" s="1"/>
  <c r="B154" i="17"/>
  <c r="K150" i="17"/>
  <c r="J150" i="17"/>
  <c r="E150" i="17"/>
  <c r="D150" i="17"/>
  <c r="E149" i="17"/>
  <c r="D149" i="17"/>
  <c r="K148" i="17"/>
  <c r="J148" i="17"/>
  <c r="E148" i="17"/>
  <c r="D148" i="17"/>
  <c r="K147" i="17"/>
  <c r="J147" i="17"/>
  <c r="E147" i="17"/>
  <c r="D147" i="17"/>
  <c r="K146" i="17"/>
  <c r="E146" i="17"/>
  <c r="D146" i="17"/>
  <c r="K145" i="17"/>
  <c r="J145" i="17"/>
  <c r="E145" i="17"/>
  <c r="D145" i="17"/>
  <c r="K144" i="17"/>
  <c r="J144" i="17"/>
  <c r="E144" i="17"/>
  <c r="D144" i="17"/>
  <c r="K143" i="17"/>
  <c r="J143" i="17"/>
  <c r="E143" i="17"/>
  <c r="D143" i="17"/>
  <c r="E142" i="17"/>
  <c r="D142" i="17"/>
  <c r="K141" i="17"/>
  <c r="J141" i="17"/>
  <c r="E141" i="17"/>
  <c r="D141" i="17"/>
  <c r="K140" i="17"/>
  <c r="J140" i="17"/>
  <c r="E140" i="17"/>
  <c r="D140" i="17"/>
  <c r="K139" i="17"/>
  <c r="J139" i="17"/>
  <c r="E139" i="17"/>
  <c r="D139" i="17"/>
  <c r="K138" i="17"/>
  <c r="E138" i="17"/>
  <c r="D138" i="17"/>
  <c r="K137" i="17"/>
  <c r="J137" i="17"/>
  <c r="E137" i="17"/>
  <c r="D137" i="17"/>
  <c r="K136" i="17"/>
  <c r="J136" i="17"/>
  <c r="E136" i="17"/>
  <c r="D136" i="17"/>
  <c r="K135" i="17"/>
  <c r="J135" i="17"/>
  <c r="E135" i="17"/>
  <c r="D135" i="17"/>
  <c r="K134" i="17"/>
  <c r="J134" i="17"/>
  <c r="E134" i="17"/>
  <c r="D134" i="17"/>
  <c r="K133" i="17"/>
  <c r="J133" i="17"/>
  <c r="E133" i="17"/>
  <c r="D133" i="17"/>
  <c r="K129" i="17"/>
  <c r="J129" i="17"/>
  <c r="E129" i="17"/>
  <c r="D129" i="17"/>
  <c r="J128" i="17"/>
  <c r="E128" i="17"/>
  <c r="D128" i="17"/>
  <c r="K127" i="17"/>
  <c r="J127" i="17"/>
  <c r="E127" i="17"/>
  <c r="D127" i="17"/>
  <c r="K126" i="17"/>
  <c r="J126" i="17"/>
  <c r="E126" i="17"/>
  <c r="D126" i="17"/>
  <c r="K125" i="17"/>
  <c r="J125" i="17"/>
  <c r="E125" i="17"/>
  <c r="D125" i="17"/>
  <c r="K124" i="17"/>
  <c r="J124" i="17"/>
  <c r="E124" i="17"/>
  <c r="D124" i="17"/>
  <c r="K123" i="17"/>
  <c r="J123" i="17"/>
  <c r="E123" i="17"/>
  <c r="D123" i="17"/>
  <c r="K122" i="17"/>
  <c r="J122" i="17"/>
  <c r="E122" i="17"/>
  <c r="D122" i="17"/>
  <c r="K121" i="17"/>
  <c r="J121" i="17"/>
  <c r="E121" i="17"/>
  <c r="D121" i="17"/>
  <c r="K120" i="17"/>
  <c r="J120" i="17"/>
  <c r="E120" i="17"/>
  <c r="D120" i="17"/>
  <c r="K119" i="17"/>
  <c r="J119" i="17"/>
  <c r="E119" i="17"/>
  <c r="D119" i="17"/>
  <c r="K118" i="17"/>
  <c r="J118" i="17"/>
  <c r="E118" i="17"/>
  <c r="D118" i="17"/>
  <c r="E117" i="17"/>
  <c r="D117" i="17"/>
  <c r="K116" i="17"/>
  <c r="J116" i="17"/>
  <c r="E116" i="17"/>
  <c r="D116" i="17"/>
  <c r="K115" i="17"/>
  <c r="J115" i="17"/>
  <c r="E115" i="17"/>
  <c r="D115" i="17"/>
  <c r="K114" i="17"/>
  <c r="J114" i="17"/>
  <c r="E114" i="17"/>
  <c r="D114" i="17"/>
  <c r="K113" i="17"/>
  <c r="J113" i="17"/>
  <c r="E113" i="17"/>
  <c r="D113" i="17"/>
  <c r="E112" i="17"/>
  <c r="D112" i="17"/>
  <c r="K111" i="17"/>
  <c r="J111" i="17"/>
  <c r="E111" i="17"/>
  <c r="D111" i="17"/>
  <c r="K110" i="17"/>
  <c r="J110" i="17"/>
  <c r="E110" i="17"/>
  <c r="D110" i="17"/>
  <c r="E109" i="17"/>
  <c r="D109" i="17"/>
  <c r="K105" i="17"/>
  <c r="J105" i="17"/>
  <c r="E105" i="17"/>
  <c r="D105" i="17"/>
  <c r="J104" i="17"/>
  <c r="E104" i="17"/>
  <c r="D104" i="17"/>
  <c r="K103" i="17"/>
  <c r="J103" i="17"/>
  <c r="E103" i="17"/>
  <c r="D103" i="17"/>
  <c r="K102" i="17"/>
  <c r="J102" i="17"/>
  <c r="E102" i="17"/>
  <c r="D102" i="17"/>
  <c r="K101" i="17"/>
  <c r="J101" i="17"/>
  <c r="E101" i="17"/>
  <c r="D101" i="17"/>
  <c r="K100" i="17"/>
  <c r="J100" i="17"/>
  <c r="E100" i="17"/>
  <c r="D100" i="17"/>
  <c r="K99" i="17"/>
  <c r="J99" i="17"/>
  <c r="E99" i="17"/>
  <c r="D99" i="17"/>
  <c r="E97" i="17"/>
  <c r="F97" i="17" s="1"/>
  <c r="G97" i="17" s="1"/>
  <c r="H97" i="17" s="1"/>
  <c r="I97" i="17" s="1"/>
  <c r="J97" i="17" s="1"/>
  <c r="K97" i="17" s="1"/>
  <c r="L97" i="17" s="1"/>
  <c r="M97" i="17" s="1"/>
  <c r="N97" i="17" s="1"/>
  <c r="O97" i="17" s="1"/>
  <c r="P97" i="17" s="1"/>
  <c r="Q97" i="17" s="1"/>
  <c r="C94" i="17"/>
  <c r="E92" i="17"/>
  <c r="D92" i="17"/>
  <c r="L91" i="17"/>
  <c r="F91" i="17"/>
  <c r="F90" i="17"/>
  <c r="L89" i="17"/>
  <c r="F89" i="17"/>
  <c r="L88" i="17"/>
  <c r="F88" i="17"/>
  <c r="L87" i="17"/>
  <c r="F87" i="17"/>
  <c r="L86" i="17"/>
  <c r="F86" i="17"/>
  <c r="L85" i="17"/>
  <c r="F85" i="17"/>
  <c r="L84" i="17"/>
  <c r="F84" i="17"/>
  <c r="F82" i="17"/>
  <c r="G82" i="17" s="1"/>
  <c r="L81" i="17"/>
  <c r="M81" i="17" s="1"/>
  <c r="N81" i="17" s="1"/>
  <c r="F81" i="17"/>
  <c r="G81" i="17" s="1"/>
  <c r="H81" i="17" s="1"/>
  <c r="L80" i="17"/>
  <c r="M80" i="17" s="1"/>
  <c r="F80" i="17"/>
  <c r="G80" i="17" s="1"/>
  <c r="L79" i="17"/>
  <c r="M79" i="17" s="1"/>
  <c r="N79" i="17" s="1"/>
  <c r="F79" i="17"/>
  <c r="G79" i="17" s="1"/>
  <c r="H79" i="17" s="1"/>
  <c r="L78" i="17"/>
  <c r="F78" i="17"/>
  <c r="L77" i="17"/>
  <c r="M77" i="17" s="1"/>
  <c r="N77" i="17" s="1"/>
  <c r="O77" i="17" s="1"/>
  <c r="P77" i="17" s="1"/>
  <c r="Q77" i="17" s="1"/>
  <c r="L76" i="17"/>
  <c r="M76" i="17" s="1"/>
  <c r="N76" i="17" s="1"/>
  <c r="F76" i="17"/>
  <c r="G76" i="17" s="1"/>
  <c r="H76" i="17" s="1"/>
  <c r="L75" i="17"/>
  <c r="F75" i="17"/>
  <c r="G75" i="17" s="1"/>
  <c r="L74" i="17"/>
  <c r="L195" i="17" s="1"/>
  <c r="F74" i="17"/>
  <c r="G74" i="17" s="1"/>
  <c r="H74" i="17" s="1"/>
  <c r="H135" i="17" s="1"/>
  <c r="L73" i="17"/>
  <c r="F73" i="17"/>
  <c r="G73" i="17" s="1"/>
  <c r="L72" i="17"/>
  <c r="F72" i="17"/>
  <c r="G72" i="17" s="1"/>
  <c r="H72" i="17" s="1"/>
  <c r="L71" i="17"/>
  <c r="M71" i="17" s="1"/>
  <c r="N71" i="17" s="1"/>
  <c r="E68" i="17"/>
  <c r="D68" i="17"/>
  <c r="L67" i="17"/>
  <c r="M67" i="17" s="1"/>
  <c r="N67" i="17" s="1"/>
  <c r="O67" i="17" s="1"/>
  <c r="P67" i="17" s="1"/>
  <c r="Q67" i="17" s="1"/>
  <c r="F67" i="17"/>
  <c r="G67" i="17" s="1"/>
  <c r="H67" i="17" s="1"/>
  <c r="I67" i="17" s="1"/>
  <c r="L66" i="17"/>
  <c r="M66" i="17" s="1"/>
  <c r="F66" i="17"/>
  <c r="G66" i="17" s="1"/>
  <c r="K65" i="17"/>
  <c r="F65" i="17"/>
  <c r="L64" i="17"/>
  <c r="F64" i="17"/>
  <c r="L63" i="17"/>
  <c r="F63" i="17"/>
  <c r="L62" i="17"/>
  <c r="F62" i="17"/>
  <c r="L61" i="17"/>
  <c r="F61" i="17"/>
  <c r="L60" i="17"/>
  <c r="F60" i="17"/>
  <c r="L59" i="17"/>
  <c r="F59" i="17"/>
  <c r="L58" i="17"/>
  <c r="F58" i="17"/>
  <c r="L57" i="17"/>
  <c r="L120" i="17" s="1"/>
  <c r="F57" i="17"/>
  <c r="L56" i="17"/>
  <c r="F56" i="17"/>
  <c r="L55" i="17"/>
  <c r="F55" i="17"/>
  <c r="F54" i="17"/>
  <c r="L53" i="17"/>
  <c r="M53" i="17" s="1"/>
  <c r="F53" i="17"/>
  <c r="G53" i="17" s="1"/>
  <c r="L52" i="17"/>
  <c r="F52" i="17"/>
  <c r="G52" i="17" s="1"/>
  <c r="L51" i="17"/>
  <c r="F51" i="17"/>
  <c r="G51" i="17" s="1"/>
  <c r="H51" i="17" s="1"/>
  <c r="L50" i="17"/>
  <c r="L113" i="17" s="1"/>
  <c r="F50" i="17"/>
  <c r="F49" i="17"/>
  <c r="L48" i="17"/>
  <c r="F48" i="17"/>
  <c r="L47" i="17"/>
  <c r="M47" i="17" s="1"/>
  <c r="N47" i="17" s="1"/>
  <c r="O47" i="17" s="1"/>
  <c r="P47" i="17" s="1"/>
  <c r="Q47" i="17" s="1"/>
  <c r="L46" i="17"/>
  <c r="F46" i="17"/>
  <c r="F45" i="17"/>
  <c r="J42" i="17"/>
  <c r="E42" i="17"/>
  <c r="D42" i="17"/>
  <c r="L41" i="17"/>
  <c r="L105" i="17" s="1"/>
  <c r="F41" i="17"/>
  <c r="K40" i="17"/>
  <c r="K42" i="17" s="1"/>
  <c r="F26" i="16" s="1"/>
  <c r="F40" i="17"/>
  <c r="L39" i="17"/>
  <c r="F39" i="17"/>
  <c r="G39" i="17" s="1"/>
  <c r="L38" i="17"/>
  <c r="M38" i="17" s="1"/>
  <c r="F38" i="17"/>
  <c r="L37" i="17"/>
  <c r="F37" i="17"/>
  <c r="G37" i="17" s="1"/>
  <c r="L36" i="17"/>
  <c r="M36" i="17" s="1"/>
  <c r="F36" i="17"/>
  <c r="L35" i="17"/>
  <c r="F35" i="17"/>
  <c r="E33" i="17"/>
  <c r="F33" i="17" s="1"/>
  <c r="G33" i="17" s="1"/>
  <c r="H33" i="17" s="1"/>
  <c r="I33" i="17" s="1"/>
  <c r="J33" i="17" s="1"/>
  <c r="K33" i="17" s="1"/>
  <c r="L33" i="17" s="1"/>
  <c r="M33" i="17" s="1"/>
  <c r="N33" i="17" s="1"/>
  <c r="O33" i="17" s="1"/>
  <c r="P33" i="17" s="1"/>
  <c r="Q33" i="17" s="1"/>
  <c r="R28" i="17"/>
  <c r="E27" i="17"/>
  <c r="D27" i="17"/>
  <c r="F25" i="17"/>
  <c r="G25" i="17" s="1"/>
  <c r="H25" i="17" s="1"/>
  <c r="I25" i="17" s="1"/>
  <c r="J25" i="17" s="1"/>
  <c r="K25" i="17" s="1"/>
  <c r="L25" i="17" s="1"/>
  <c r="M25" i="17" s="1"/>
  <c r="N25" i="17" s="1"/>
  <c r="O25" i="17" s="1"/>
  <c r="P25" i="17" s="1"/>
  <c r="Q25" i="17" s="1"/>
  <c r="F21" i="17"/>
  <c r="E19" i="17"/>
  <c r="F19" i="17" s="1"/>
  <c r="G19" i="17" s="1"/>
  <c r="H19" i="17" s="1"/>
  <c r="I19" i="17" s="1"/>
  <c r="J19" i="17" s="1"/>
  <c r="K19" i="17" s="1"/>
  <c r="L19" i="17" s="1"/>
  <c r="M19" i="17" s="1"/>
  <c r="N19" i="17" s="1"/>
  <c r="O19" i="17" s="1"/>
  <c r="P19" i="17" s="1"/>
  <c r="Q19" i="17" s="1"/>
  <c r="E16" i="17"/>
  <c r="D16" i="17"/>
  <c r="F15" i="17"/>
  <c r="G15" i="17" s="1"/>
  <c r="H15" i="17" s="1"/>
  <c r="I15" i="17" s="1"/>
  <c r="J15" i="17" s="1"/>
  <c r="K15" i="17" s="1"/>
  <c r="L15" i="17" s="1"/>
  <c r="M15" i="17" s="1"/>
  <c r="N15" i="17" s="1"/>
  <c r="O15" i="17" s="1"/>
  <c r="P15" i="17" s="1"/>
  <c r="Q15" i="17" s="1"/>
  <c r="F14" i="17"/>
  <c r="G14" i="17" s="1"/>
  <c r="H14" i="17" s="1"/>
  <c r="I14" i="17" s="1"/>
  <c r="K14" i="17" s="1"/>
  <c r="F13" i="17"/>
  <c r="G13" i="17" s="1"/>
  <c r="H13" i="17" s="1"/>
  <c r="I13" i="17" s="1"/>
  <c r="K13" i="17" s="1"/>
  <c r="L13" i="17" s="1"/>
  <c r="M13" i="17" s="1"/>
  <c r="N13" i="17" s="1"/>
  <c r="O13" i="17" s="1"/>
  <c r="P13" i="17" s="1"/>
  <c r="Q13" i="17" s="1"/>
  <c r="F12" i="17"/>
  <c r="G12" i="17" s="1"/>
  <c r="H12" i="17" s="1"/>
  <c r="I12" i="17" s="1"/>
  <c r="K12" i="17" s="1"/>
  <c r="M12" i="17" s="1"/>
  <c r="N12" i="17" s="1"/>
  <c r="O12" i="17" s="1"/>
  <c r="P12" i="17" s="1"/>
  <c r="Q12" i="17" s="1"/>
  <c r="F11" i="17"/>
  <c r="G11" i="17" s="1"/>
  <c r="H11" i="17" s="1"/>
  <c r="I11" i="17" s="1"/>
  <c r="K11" i="17" s="1"/>
  <c r="F10" i="17"/>
  <c r="G10" i="17" s="1"/>
  <c r="H10" i="17" s="1"/>
  <c r="I10" i="17" s="1"/>
  <c r="K10" i="17" s="1"/>
  <c r="F9" i="17"/>
  <c r="G9" i="17" s="1"/>
  <c r="H9" i="17" s="1"/>
  <c r="I9" i="17" s="1"/>
  <c r="K9" i="17" s="1"/>
  <c r="F8" i="17"/>
  <c r="G8" i="17" s="1"/>
  <c r="E6" i="17"/>
  <c r="F6" i="17" s="1"/>
  <c r="G6" i="17" s="1"/>
  <c r="H6" i="17" s="1"/>
  <c r="I6" i="17" s="1"/>
  <c r="J6" i="17" s="1"/>
  <c r="K6" i="17" s="1"/>
  <c r="L6" i="17" s="1"/>
  <c r="M6" i="17" s="1"/>
  <c r="N6" i="17" s="1"/>
  <c r="O6" i="17" s="1"/>
  <c r="P6" i="17" s="1"/>
  <c r="Q6" i="17" s="1"/>
  <c r="A4" i="17"/>
  <c r="D29" i="17" l="1"/>
  <c r="G54" i="31"/>
  <c r="H54" i="31"/>
  <c r="J54" i="31"/>
  <c r="E54" i="31"/>
  <c r="A55" i="31"/>
  <c r="K54" i="31"/>
  <c r="B54" i="31"/>
  <c r="C54" i="31"/>
  <c r="J55" i="30"/>
  <c r="K55" i="30"/>
  <c r="H55" i="30"/>
  <c r="E55" i="30"/>
  <c r="A56" i="30"/>
  <c r="F55" i="30"/>
  <c r="L159" i="17"/>
  <c r="L193" i="17"/>
  <c r="E170" i="17"/>
  <c r="L175" i="17"/>
  <c r="L194" i="17"/>
  <c r="AF39" i="19"/>
  <c r="L68" i="19"/>
  <c r="D193" i="17"/>
  <c r="M52" i="17"/>
  <c r="N52" i="17" s="1"/>
  <c r="N175" i="17" s="1"/>
  <c r="X38" i="19"/>
  <c r="L198" i="17"/>
  <c r="D159" i="17"/>
  <c r="AA39" i="19"/>
  <c r="L40" i="17"/>
  <c r="AI39" i="19"/>
  <c r="F71" i="19"/>
  <c r="F72" i="19" s="1"/>
  <c r="F73" i="19" s="1"/>
  <c r="F74" i="19" s="1"/>
  <c r="F75" i="19" s="1"/>
  <c r="F76" i="19" s="1"/>
  <c r="F77" i="19" s="1"/>
  <c r="F78" i="19" s="1"/>
  <c r="F79" i="19" s="1"/>
  <c r="F80" i="19" s="1"/>
  <c r="F81" i="19" s="1"/>
  <c r="F82" i="19" s="1"/>
  <c r="F83" i="19" s="1"/>
  <c r="F84" i="19" s="1"/>
  <c r="F85" i="19" s="1"/>
  <c r="F86" i="19" s="1"/>
  <c r="F87" i="19" s="1"/>
  <c r="F88" i="19" s="1"/>
  <c r="F89" i="19" s="1"/>
  <c r="F90" i="19" s="1"/>
  <c r="E29" i="17"/>
  <c r="D94" i="17"/>
  <c r="M50" i="17"/>
  <c r="M173" i="17" s="1"/>
  <c r="L207" i="17"/>
  <c r="D170" i="17"/>
  <c r="D182" i="17"/>
  <c r="F32" i="19"/>
  <c r="O31" i="19" s="1"/>
  <c r="F27" i="17"/>
  <c r="L196" i="17"/>
  <c r="D174" i="17"/>
  <c r="E177" i="17"/>
  <c r="E204" i="17"/>
  <c r="H21" i="18"/>
  <c r="H26" i="18"/>
  <c r="X108" i="19"/>
  <c r="M14" i="18"/>
  <c r="M16" i="18" s="1"/>
  <c r="AG38" i="19"/>
  <c r="D151" i="17"/>
  <c r="D160" i="17"/>
  <c r="J162" i="17"/>
  <c r="J165" i="17"/>
  <c r="J196" i="17"/>
  <c r="D204" i="17"/>
  <c r="E205" i="17"/>
  <c r="AE37" i="19"/>
  <c r="G45" i="16" s="1"/>
  <c r="AB38" i="19"/>
  <c r="AC39" i="19"/>
  <c r="G21" i="17"/>
  <c r="H21" i="17" s="1"/>
  <c r="F42" i="17"/>
  <c r="L189" i="17"/>
  <c r="M72" i="17"/>
  <c r="N72" i="17" s="1"/>
  <c r="N133" i="17" s="1"/>
  <c r="L197" i="17"/>
  <c r="J106" i="17"/>
  <c r="E159" i="17"/>
  <c r="D181" i="17"/>
  <c r="E182" i="17"/>
  <c r="D189" i="17"/>
  <c r="E193" i="17"/>
  <c r="D197" i="17"/>
  <c r="J199" i="17"/>
  <c r="F14" i="18"/>
  <c r="F16" i="18" s="1"/>
  <c r="J14" i="18"/>
  <c r="J16" i="18" s="1"/>
  <c r="N14" i="18"/>
  <c r="N16" i="18" s="1"/>
  <c r="AN38" i="19"/>
  <c r="M73" i="17"/>
  <c r="N73" i="17" s="1"/>
  <c r="M75" i="17"/>
  <c r="E162" i="17"/>
  <c r="E181" i="17"/>
  <c r="E189" i="17"/>
  <c r="E196" i="17"/>
  <c r="E197" i="17"/>
  <c r="D205" i="17"/>
  <c r="J207" i="17"/>
  <c r="A15" i="19"/>
  <c r="A16" i="19" s="1"/>
  <c r="Y38" i="19"/>
  <c r="G79" i="19"/>
  <c r="W95" i="19"/>
  <c r="G35" i="17"/>
  <c r="L163" i="17"/>
  <c r="J43" i="17"/>
  <c r="E26" i="16"/>
  <c r="M74" i="17"/>
  <c r="N74" i="17" s="1"/>
  <c r="M78" i="17"/>
  <c r="M198" i="17" s="1"/>
  <c r="L129" i="17"/>
  <c r="L135" i="17"/>
  <c r="J159" i="17"/>
  <c r="D163" i="17"/>
  <c r="E169" i="17"/>
  <c r="J170" i="17"/>
  <c r="E173" i="17"/>
  <c r="E174" i="17"/>
  <c r="D178" i="17"/>
  <c r="J181" i="17"/>
  <c r="K182" i="17"/>
  <c r="D185" i="17"/>
  <c r="D186" i="17"/>
  <c r="J189" i="17"/>
  <c r="K193" i="17"/>
  <c r="K198" i="17"/>
  <c r="D200" i="17"/>
  <c r="D201" i="17"/>
  <c r="J203" i="17"/>
  <c r="J204" i="17"/>
  <c r="D208" i="17"/>
  <c r="D209" i="17"/>
  <c r="O5" i="18"/>
  <c r="G14" i="18"/>
  <c r="G16" i="18" s="1"/>
  <c r="K14" i="18"/>
  <c r="K16" i="18" s="1"/>
  <c r="H30" i="18"/>
  <c r="H41" i="18"/>
  <c r="H46" i="18"/>
  <c r="E38" i="19"/>
  <c r="W38" i="19"/>
  <c r="AF38" i="19"/>
  <c r="AE39" i="19"/>
  <c r="AM39" i="19"/>
  <c r="G71" i="19"/>
  <c r="G83" i="19"/>
  <c r="V110" i="19"/>
  <c r="X110" i="19" s="1"/>
  <c r="E46" i="16"/>
  <c r="L200" i="17"/>
  <c r="D106" i="17"/>
  <c r="L115" i="17"/>
  <c r="L133" i="17"/>
  <c r="L136" i="17"/>
  <c r="E163" i="17"/>
  <c r="J173" i="17"/>
  <c r="K174" i="17"/>
  <c r="E178" i="17"/>
  <c r="E185" i="17"/>
  <c r="E186" i="17"/>
  <c r="D196" i="17"/>
  <c r="E200" i="17"/>
  <c r="E201" i="17"/>
  <c r="E208" i="17"/>
  <c r="AG36" i="19"/>
  <c r="Y39" i="19"/>
  <c r="AG39" i="19"/>
  <c r="G75" i="19"/>
  <c r="G85" i="19"/>
  <c r="U105" i="19"/>
  <c r="D69" i="4" s="1"/>
  <c r="D74" i="4" s="1"/>
  <c r="L161" i="17"/>
  <c r="L173" i="17"/>
  <c r="E94" i="17"/>
  <c r="L201" i="17"/>
  <c r="L208" i="17"/>
  <c r="D130" i="17"/>
  <c r="D153" i="17" s="1"/>
  <c r="L134" i="17"/>
  <c r="L137" i="17"/>
  <c r="L141" i="17"/>
  <c r="J163" i="17"/>
  <c r="K178" i="17"/>
  <c r="J185" i="17"/>
  <c r="K186" i="17"/>
  <c r="J200" i="17"/>
  <c r="J208" i="17"/>
  <c r="X96" i="19"/>
  <c r="AI36" i="19"/>
  <c r="AJ38" i="19"/>
  <c r="B8" i="18"/>
  <c r="B18" i="18" s="1"/>
  <c r="I21" i="18"/>
  <c r="I26" i="18"/>
  <c r="G46" i="18"/>
  <c r="G51" i="18" s="1"/>
  <c r="G3" i="21"/>
  <c r="G4" i="21"/>
  <c r="E23" i="16"/>
  <c r="C5" i="19"/>
  <c r="C13" i="19" s="1"/>
  <c r="P7" i="19"/>
  <c r="M4" i="19"/>
  <c r="A5" i="19"/>
  <c r="T99" i="19"/>
  <c r="AB36" i="19"/>
  <c r="M16" i="19"/>
  <c r="A17" i="19"/>
  <c r="AA36" i="19"/>
  <c r="T98" i="19"/>
  <c r="T100" i="19"/>
  <c r="X100" i="19" s="1"/>
  <c r="AC36" i="19"/>
  <c r="T102" i="19"/>
  <c r="AE36" i="19"/>
  <c r="AC37" i="19"/>
  <c r="E45" i="16" s="1"/>
  <c r="V98" i="19"/>
  <c r="AA38" i="19"/>
  <c r="D5" i="19"/>
  <c r="D13" i="19" s="1"/>
  <c r="L38" i="19"/>
  <c r="AA37" i="19"/>
  <c r="AI37" i="19"/>
  <c r="K45" i="16" s="1"/>
  <c r="AC38" i="19"/>
  <c r="E41" i="16" s="1"/>
  <c r="AK38" i="19"/>
  <c r="Z39" i="19"/>
  <c r="W97" i="19"/>
  <c r="AH39" i="19"/>
  <c r="W105" i="19"/>
  <c r="G73" i="19"/>
  <c r="U101" i="19"/>
  <c r="T95" i="19"/>
  <c r="X36" i="19"/>
  <c r="O42" i="19"/>
  <c r="V106" i="19"/>
  <c r="X106" i="19" s="1"/>
  <c r="AI38" i="19"/>
  <c r="M15" i="19"/>
  <c r="AB37" i="19"/>
  <c r="U99" i="19"/>
  <c r="T103" i="19"/>
  <c r="AF36" i="19"/>
  <c r="AD39" i="19"/>
  <c r="W101" i="19"/>
  <c r="AL39" i="19"/>
  <c r="W109" i="19"/>
  <c r="X109" i="19" s="1"/>
  <c r="W99" i="19"/>
  <c r="T97" i="19"/>
  <c r="Z36" i="19"/>
  <c r="Y36" i="19"/>
  <c r="AJ39" i="19"/>
  <c r="W107" i="19"/>
  <c r="X107" i="19" s="1"/>
  <c r="F17" i="19"/>
  <c r="X37" i="19"/>
  <c r="U95" i="19"/>
  <c r="AF37" i="19"/>
  <c r="H45" i="16" s="1"/>
  <c r="U103" i="19"/>
  <c r="X104" i="19"/>
  <c r="Y37" i="19"/>
  <c r="AG37" i="19"/>
  <c r="I45" i="16" s="1"/>
  <c r="V102" i="19"/>
  <c r="AE38" i="19"/>
  <c r="F64" i="19"/>
  <c r="L64" i="19"/>
  <c r="U97" i="19"/>
  <c r="W103" i="19"/>
  <c r="W111" i="19"/>
  <c r="X111" i="19" s="1"/>
  <c r="G70" i="19"/>
  <c r="G72" i="19"/>
  <c r="G74" i="19"/>
  <c r="G76" i="19"/>
  <c r="G78" i="19"/>
  <c r="G80" i="19"/>
  <c r="G82" i="19"/>
  <c r="G84" i="19"/>
  <c r="G86" i="19"/>
  <c r="AH36" i="19"/>
  <c r="Z38" i="19"/>
  <c r="AD38" i="19"/>
  <c r="AH38" i="19"/>
  <c r="AL38" i="19"/>
  <c r="I14" i="18"/>
  <c r="I16" i="18" s="1"/>
  <c r="J45" i="18"/>
  <c r="K45" i="18" s="1"/>
  <c r="I46" i="18"/>
  <c r="J20" i="18"/>
  <c r="K20" i="18" s="1"/>
  <c r="H14" i="18"/>
  <c r="H16" i="18" s="1"/>
  <c r="L14" i="18"/>
  <c r="L16" i="18" s="1"/>
  <c r="I41" i="18"/>
  <c r="J40" i="18"/>
  <c r="K40" i="18" s="1"/>
  <c r="J25" i="18"/>
  <c r="K25" i="18" s="1"/>
  <c r="F49" i="18"/>
  <c r="F41" i="18"/>
  <c r="F51" i="18" s="1"/>
  <c r="A7" i="18"/>
  <c r="O6" i="18"/>
  <c r="G34" i="18"/>
  <c r="G49" i="18" s="1"/>
  <c r="G16" i="17"/>
  <c r="R4" i="17"/>
  <c r="A5" i="17"/>
  <c r="H8" i="17"/>
  <c r="F16" i="17"/>
  <c r="K43" i="17"/>
  <c r="F162" i="17"/>
  <c r="F102" i="17"/>
  <c r="L170" i="17"/>
  <c r="M46" i="17"/>
  <c r="N115" i="17"/>
  <c r="L184" i="17"/>
  <c r="M61" i="17"/>
  <c r="G161" i="17"/>
  <c r="G101" i="17"/>
  <c r="H37" i="17"/>
  <c r="F165" i="17"/>
  <c r="F105" i="17"/>
  <c r="G41" i="17"/>
  <c r="L42" i="17"/>
  <c r="M113" i="17"/>
  <c r="G176" i="17"/>
  <c r="G116" i="17"/>
  <c r="H53" i="17"/>
  <c r="L178" i="17"/>
  <c r="M55" i="17"/>
  <c r="L183" i="17"/>
  <c r="L123" i="17"/>
  <c r="M60" i="17"/>
  <c r="F185" i="17"/>
  <c r="F125" i="17"/>
  <c r="G62" i="17"/>
  <c r="F186" i="17"/>
  <c r="F126" i="17"/>
  <c r="G63" i="17"/>
  <c r="M196" i="17"/>
  <c r="M136" i="17"/>
  <c r="N75" i="17"/>
  <c r="N197" i="17"/>
  <c r="N137" i="17"/>
  <c r="O76" i="17"/>
  <c r="H199" i="17"/>
  <c r="H139" i="17"/>
  <c r="I79" i="17"/>
  <c r="F206" i="17"/>
  <c r="F146" i="17"/>
  <c r="G87" i="17"/>
  <c r="L99" i="17"/>
  <c r="L124" i="17"/>
  <c r="G159" i="17"/>
  <c r="G99" i="17"/>
  <c r="H35" i="17"/>
  <c r="F160" i="17"/>
  <c r="F100" i="17"/>
  <c r="M160" i="17"/>
  <c r="M100" i="17"/>
  <c r="N36" i="17"/>
  <c r="G163" i="17"/>
  <c r="G103" i="17"/>
  <c r="H39" i="17"/>
  <c r="F164" i="17"/>
  <c r="F104" i="17"/>
  <c r="L164" i="17"/>
  <c r="L104" i="17"/>
  <c r="M40" i="17"/>
  <c r="F169" i="17"/>
  <c r="F109" i="17"/>
  <c r="H174" i="17"/>
  <c r="H114" i="17"/>
  <c r="I51" i="17"/>
  <c r="M176" i="17"/>
  <c r="M116" i="17"/>
  <c r="F177" i="17"/>
  <c r="F117" i="17"/>
  <c r="G54" i="17"/>
  <c r="F178" i="17"/>
  <c r="F118" i="17"/>
  <c r="G55" i="17"/>
  <c r="F183" i="17"/>
  <c r="F123" i="17"/>
  <c r="G60" i="17"/>
  <c r="L186" i="17"/>
  <c r="M63" i="17"/>
  <c r="M189" i="17"/>
  <c r="M129" i="17"/>
  <c r="N66" i="17"/>
  <c r="G194" i="17"/>
  <c r="G134" i="17"/>
  <c r="H73" i="17"/>
  <c r="H195" i="17"/>
  <c r="I74" i="17"/>
  <c r="M200" i="17"/>
  <c r="M140" i="17"/>
  <c r="N80" i="17"/>
  <c r="N201" i="17"/>
  <c r="N141" i="17"/>
  <c r="O81" i="17"/>
  <c r="G202" i="17"/>
  <c r="G142" i="17"/>
  <c r="H82" i="17"/>
  <c r="L203" i="17"/>
  <c r="L143" i="17"/>
  <c r="M84" i="17"/>
  <c r="F210" i="17"/>
  <c r="F150" i="17"/>
  <c r="G91" i="17"/>
  <c r="L103" i="17"/>
  <c r="L110" i="17"/>
  <c r="G36" i="17"/>
  <c r="F161" i="17"/>
  <c r="F101" i="17"/>
  <c r="M37" i="17"/>
  <c r="L162" i="17"/>
  <c r="L102" i="17"/>
  <c r="G40" i="17"/>
  <c r="L165" i="17"/>
  <c r="M41" i="17"/>
  <c r="G45" i="17"/>
  <c r="L174" i="17"/>
  <c r="L114" i="17"/>
  <c r="M51" i="17"/>
  <c r="F175" i="17"/>
  <c r="F115" i="17"/>
  <c r="F176" i="17"/>
  <c r="F116" i="17"/>
  <c r="N53" i="17"/>
  <c r="L179" i="17"/>
  <c r="L119" i="17"/>
  <c r="M56" i="17"/>
  <c r="L180" i="17"/>
  <c r="M57" i="17"/>
  <c r="F181" i="17"/>
  <c r="F121" i="17"/>
  <c r="G58" i="17"/>
  <c r="F182" i="17"/>
  <c r="F122" i="17"/>
  <c r="G59" i="17"/>
  <c r="F187" i="17"/>
  <c r="F127" i="17"/>
  <c r="G64" i="17"/>
  <c r="G189" i="17"/>
  <c r="G129" i="17"/>
  <c r="H66" i="17"/>
  <c r="O71" i="17"/>
  <c r="H193" i="17"/>
  <c r="I72" i="17"/>
  <c r="H133" i="17"/>
  <c r="N199" i="17"/>
  <c r="N139" i="17"/>
  <c r="O79" i="17"/>
  <c r="G200" i="17"/>
  <c r="G140" i="17"/>
  <c r="H80" i="17"/>
  <c r="H201" i="17"/>
  <c r="I81" i="17"/>
  <c r="L210" i="17"/>
  <c r="L150" i="17"/>
  <c r="M91" i="17"/>
  <c r="L101" i="17"/>
  <c r="L118" i="17"/>
  <c r="L126" i="17"/>
  <c r="E151" i="17"/>
  <c r="H141" i="17"/>
  <c r="E161" i="17"/>
  <c r="J161" i="17"/>
  <c r="D161" i="17"/>
  <c r="K161" i="17"/>
  <c r="M162" i="17"/>
  <c r="M102" i="17"/>
  <c r="N38" i="17"/>
  <c r="G175" i="17"/>
  <c r="G115" i="17"/>
  <c r="F159" i="17"/>
  <c r="F99" i="17"/>
  <c r="M35" i="17"/>
  <c r="L160" i="17"/>
  <c r="L100" i="17"/>
  <c r="G38" i="17"/>
  <c r="F163" i="17"/>
  <c r="F103" i="17"/>
  <c r="M39" i="17"/>
  <c r="K164" i="17"/>
  <c r="K104" i="17"/>
  <c r="K106" i="17" s="1"/>
  <c r="F170" i="17"/>
  <c r="F110" i="17"/>
  <c r="G46" i="17"/>
  <c r="L171" i="17"/>
  <c r="L111" i="17"/>
  <c r="M48" i="17"/>
  <c r="F172" i="17"/>
  <c r="F112" i="17"/>
  <c r="G49" i="17"/>
  <c r="F173" i="17"/>
  <c r="F113" i="17"/>
  <c r="G50" i="17"/>
  <c r="G174" i="17"/>
  <c r="G114" i="17"/>
  <c r="H52" i="17"/>
  <c r="L176" i="17"/>
  <c r="L116" i="17"/>
  <c r="F179" i="17"/>
  <c r="F119" i="17"/>
  <c r="G56" i="17"/>
  <c r="L182" i="17"/>
  <c r="M59" i="17"/>
  <c r="L187" i="17"/>
  <c r="L127" i="17"/>
  <c r="M64" i="17"/>
  <c r="K188" i="17"/>
  <c r="K128" i="17"/>
  <c r="L65" i="17"/>
  <c r="F68" i="17"/>
  <c r="N195" i="17"/>
  <c r="N135" i="17"/>
  <c r="O74" i="17"/>
  <c r="G196" i="17"/>
  <c r="G136" i="17"/>
  <c r="H75" i="17"/>
  <c r="H197" i="17"/>
  <c r="H137" i="17"/>
  <c r="I76" i="17"/>
  <c r="F204" i="17"/>
  <c r="F144" i="17"/>
  <c r="G85" i="17"/>
  <c r="L205" i="17"/>
  <c r="L145" i="17"/>
  <c r="M86" i="17"/>
  <c r="E106" i="17"/>
  <c r="L122" i="17"/>
  <c r="F171" i="17"/>
  <c r="F111" i="17"/>
  <c r="G48" i="17"/>
  <c r="F174" i="17"/>
  <c r="F114" i="17"/>
  <c r="F180" i="17"/>
  <c r="F120" i="17"/>
  <c r="G57" i="17"/>
  <c r="L181" i="17"/>
  <c r="L121" i="17"/>
  <c r="M58" i="17"/>
  <c r="F184" i="17"/>
  <c r="F124" i="17"/>
  <c r="G61" i="17"/>
  <c r="L185" i="17"/>
  <c r="L125" i="17"/>
  <c r="M62" i="17"/>
  <c r="F188" i="17"/>
  <c r="F128" i="17"/>
  <c r="G65" i="17"/>
  <c r="G193" i="17"/>
  <c r="G133" i="17"/>
  <c r="G197" i="17"/>
  <c r="G137" i="17"/>
  <c r="M197" i="17"/>
  <c r="M137" i="17"/>
  <c r="F198" i="17"/>
  <c r="F138" i="17"/>
  <c r="G78" i="17"/>
  <c r="G199" i="17"/>
  <c r="G139" i="17"/>
  <c r="M199" i="17"/>
  <c r="M139" i="17"/>
  <c r="F203" i="17"/>
  <c r="F143" i="17"/>
  <c r="G84" i="17"/>
  <c r="L204" i="17"/>
  <c r="L144" i="17"/>
  <c r="M85" i="17"/>
  <c r="F207" i="17"/>
  <c r="F147" i="17"/>
  <c r="G88" i="17"/>
  <c r="G195" i="17"/>
  <c r="G135" i="17"/>
  <c r="M195" i="17"/>
  <c r="M135" i="17"/>
  <c r="G201" i="17"/>
  <c r="G141" i="17"/>
  <c r="M201" i="17"/>
  <c r="M141" i="17"/>
  <c r="F205" i="17"/>
  <c r="F145" i="17"/>
  <c r="G86" i="17"/>
  <c r="E130" i="17"/>
  <c r="F189" i="17"/>
  <c r="F129" i="17"/>
  <c r="F193" i="17"/>
  <c r="F133" i="17"/>
  <c r="F92" i="17"/>
  <c r="F194" i="17"/>
  <c r="F134" i="17"/>
  <c r="F195" i="17"/>
  <c r="F135" i="17"/>
  <c r="F196" i="17"/>
  <c r="F136" i="17"/>
  <c r="F197" i="17"/>
  <c r="F137" i="17"/>
  <c r="F199" i="17"/>
  <c r="F139" i="17"/>
  <c r="L199" i="17"/>
  <c r="L139" i="17"/>
  <c r="F200" i="17"/>
  <c r="F140" i="17"/>
  <c r="F201" i="17"/>
  <c r="F141" i="17"/>
  <c r="F202" i="17"/>
  <c r="F142" i="17"/>
  <c r="L206" i="17"/>
  <c r="M87" i="17"/>
  <c r="L138" i="17"/>
  <c r="L140" i="17"/>
  <c r="L146" i="17"/>
  <c r="F208" i="17"/>
  <c r="F148" i="17"/>
  <c r="F209" i="17"/>
  <c r="F149" i="17"/>
  <c r="L148" i="17"/>
  <c r="M88" i="17"/>
  <c r="G89" i="17"/>
  <c r="M89" i="17"/>
  <c r="G90" i="17"/>
  <c r="L147" i="17"/>
  <c r="E171" i="17"/>
  <c r="D171" i="17"/>
  <c r="J171" i="17"/>
  <c r="K171" i="17"/>
  <c r="E183" i="17"/>
  <c r="K183" i="17"/>
  <c r="J183" i="17"/>
  <c r="D183" i="17"/>
  <c r="D202" i="17"/>
  <c r="E202" i="17"/>
  <c r="E175" i="17"/>
  <c r="K175" i="17"/>
  <c r="J175" i="17"/>
  <c r="D175" i="17"/>
  <c r="E164" i="17"/>
  <c r="J164" i="17"/>
  <c r="E187" i="17"/>
  <c r="K187" i="17"/>
  <c r="J187" i="17"/>
  <c r="D187" i="17"/>
  <c r="E160" i="17"/>
  <c r="K160" i="17"/>
  <c r="E179" i="17"/>
  <c r="K179" i="17"/>
  <c r="J179" i="17"/>
  <c r="D179" i="17"/>
  <c r="D162" i="17"/>
  <c r="E165" i="17"/>
  <c r="E172" i="17"/>
  <c r="D173" i="17"/>
  <c r="K176" i="17"/>
  <c r="K180" i="17"/>
  <c r="K184" i="17"/>
  <c r="D195" i="17"/>
  <c r="K195" i="17"/>
  <c r="J195" i="17"/>
  <c r="K165" i="17"/>
  <c r="J194" i="17"/>
  <c r="E176" i="17"/>
  <c r="J176" i="17"/>
  <c r="E180" i="17"/>
  <c r="J180" i="17"/>
  <c r="E184" i="17"/>
  <c r="J184" i="17"/>
  <c r="E188" i="17"/>
  <c r="J188" i="17"/>
  <c r="D194" i="17"/>
  <c r="K194" i="17"/>
  <c r="D198" i="17"/>
  <c r="J197" i="17"/>
  <c r="D199" i="17"/>
  <c r="J201" i="17"/>
  <c r="D203" i="17"/>
  <c r="J205" i="17"/>
  <c r="E206" i="17"/>
  <c r="D207" i="17"/>
  <c r="E210" i="17"/>
  <c r="E199" i="17"/>
  <c r="E203" i="17"/>
  <c r="E207" i="17"/>
  <c r="J210" i="17"/>
  <c r="K206" i="17"/>
  <c r="K210" i="17"/>
  <c r="M115" i="17" l="1"/>
  <c r="M175" i="17"/>
  <c r="O52" i="17"/>
  <c r="C55" i="31"/>
  <c r="A56" i="31"/>
  <c r="E55" i="31"/>
  <c r="J55" i="31"/>
  <c r="K55" i="31"/>
  <c r="B55" i="31"/>
  <c r="F55" i="31"/>
  <c r="H55" i="31"/>
  <c r="H56" i="30"/>
  <c r="J56" i="30"/>
  <c r="A57" i="30"/>
  <c r="G56" i="30"/>
  <c r="E56" i="30"/>
  <c r="K56" i="30"/>
  <c r="M194" i="17"/>
  <c r="M134" i="17"/>
  <c r="G27" i="17"/>
  <c r="G29" i="17" s="1"/>
  <c r="F29" i="17"/>
  <c r="J41" i="18"/>
  <c r="E48" i="16"/>
  <c r="H51" i="18"/>
  <c r="N50" i="17"/>
  <c r="N173" i="17" s="1"/>
  <c r="F94" i="17"/>
  <c r="AD36" i="19"/>
  <c r="M138" i="17"/>
  <c r="T101" i="19"/>
  <c r="D190" i="17"/>
  <c r="K166" i="17"/>
  <c r="M193" i="17"/>
  <c r="N78" i="17"/>
  <c r="N138" i="17" s="1"/>
  <c r="N193" i="17"/>
  <c r="D166" i="17"/>
  <c r="F166" i="17"/>
  <c r="O72" i="17"/>
  <c r="O133" i="17" s="1"/>
  <c r="J46" i="18"/>
  <c r="M133" i="17"/>
  <c r="L166" i="17"/>
  <c r="X101" i="19"/>
  <c r="X105" i="19"/>
  <c r="H50" i="18"/>
  <c r="I30" i="18"/>
  <c r="H29" i="18"/>
  <c r="E166" i="17"/>
  <c r="E211" i="17"/>
  <c r="X102" i="19"/>
  <c r="D211" i="17"/>
  <c r="J166" i="17"/>
  <c r="X99" i="19"/>
  <c r="F50" i="18"/>
  <c r="G50" i="18"/>
  <c r="I50" i="18"/>
  <c r="X98" i="19"/>
  <c r="X97" i="19"/>
  <c r="X103" i="19"/>
  <c r="X95" i="19"/>
  <c r="P38" i="19"/>
  <c r="P39" i="19" s="1"/>
  <c r="P40" i="19" s="1"/>
  <c r="F38" i="19"/>
  <c r="E5" i="19" s="1"/>
  <c r="A18" i="19"/>
  <c r="M17" i="19"/>
  <c r="A6" i="19"/>
  <c r="M5" i="19"/>
  <c r="L20" i="18"/>
  <c r="K21" i="18"/>
  <c r="L25" i="18"/>
  <c r="K26" i="18"/>
  <c r="J21" i="18"/>
  <c r="A8" i="18"/>
  <c r="O7" i="18"/>
  <c r="K41" i="18"/>
  <c r="L40" i="18"/>
  <c r="H34" i="18"/>
  <c r="J26" i="18"/>
  <c r="I51" i="18"/>
  <c r="K46" i="18"/>
  <c r="L45" i="18"/>
  <c r="G209" i="17"/>
  <c r="G149" i="17"/>
  <c r="H90" i="17"/>
  <c r="M204" i="17"/>
  <c r="M144" i="17"/>
  <c r="N85" i="17"/>
  <c r="G184" i="17"/>
  <c r="G124" i="17"/>
  <c r="H61" i="17"/>
  <c r="E153" i="17"/>
  <c r="G204" i="17"/>
  <c r="G144" i="17"/>
  <c r="H85" i="17"/>
  <c r="N194" i="17"/>
  <c r="N134" i="17"/>
  <c r="O73" i="17"/>
  <c r="L188" i="17"/>
  <c r="L128" i="17"/>
  <c r="M65" i="17"/>
  <c r="G179" i="17"/>
  <c r="G119" i="17"/>
  <c r="H56" i="17"/>
  <c r="G173" i="17"/>
  <c r="G113" i="17"/>
  <c r="H50" i="17"/>
  <c r="N198" i="17"/>
  <c r="M180" i="17"/>
  <c r="M120" i="17"/>
  <c r="N57" i="17"/>
  <c r="M174" i="17"/>
  <c r="M114" i="17"/>
  <c r="N51" i="17"/>
  <c r="M165" i="17"/>
  <c r="M105" i="17"/>
  <c r="N41" i="17"/>
  <c r="G160" i="17"/>
  <c r="G100" i="17"/>
  <c r="H36" i="17"/>
  <c r="G42" i="17"/>
  <c r="M203" i="17"/>
  <c r="M143" i="17"/>
  <c r="N84" i="17"/>
  <c r="I195" i="17"/>
  <c r="I135" i="17"/>
  <c r="M186" i="17"/>
  <c r="M126" i="17"/>
  <c r="N63" i="17"/>
  <c r="G177" i="17"/>
  <c r="G117" i="17"/>
  <c r="H54" i="17"/>
  <c r="G206" i="17"/>
  <c r="G146" i="17"/>
  <c r="H87" i="17"/>
  <c r="G186" i="17"/>
  <c r="G126" i="17"/>
  <c r="H63" i="17"/>
  <c r="M184" i="17"/>
  <c r="M124" i="17"/>
  <c r="N61" i="17"/>
  <c r="G208" i="17"/>
  <c r="G148" i="17"/>
  <c r="H89" i="17"/>
  <c r="F211" i="17"/>
  <c r="G207" i="17"/>
  <c r="G147" i="17"/>
  <c r="H88" i="17"/>
  <c r="M185" i="17"/>
  <c r="M125" i="17"/>
  <c r="N62" i="17"/>
  <c r="M205" i="17"/>
  <c r="M145" i="17"/>
  <c r="N86" i="17"/>
  <c r="O195" i="17"/>
  <c r="O135" i="17"/>
  <c r="P74" i="17"/>
  <c r="H175" i="17"/>
  <c r="I52" i="17"/>
  <c r="H115" i="17"/>
  <c r="G170" i="17"/>
  <c r="G110" i="17"/>
  <c r="H46" i="17"/>
  <c r="G162" i="17"/>
  <c r="G102" i="17"/>
  <c r="H38" i="17"/>
  <c r="F106" i="17"/>
  <c r="N162" i="17"/>
  <c r="N102" i="17"/>
  <c r="O38" i="17"/>
  <c r="M210" i="17"/>
  <c r="M150" i="17"/>
  <c r="N91" i="17"/>
  <c r="O199" i="17"/>
  <c r="O139" i="17"/>
  <c r="P79" i="17"/>
  <c r="I193" i="17"/>
  <c r="I133" i="17"/>
  <c r="G181" i="17"/>
  <c r="G121" i="17"/>
  <c r="H58" i="17"/>
  <c r="N176" i="17"/>
  <c r="N116" i="17"/>
  <c r="O53" i="17"/>
  <c r="M161" i="17"/>
  <c r="M101" i="17"/>
  <c r="N37" i="17"/>
  <c r="G210" i="17"/>
  <c r="G150" i="17"/>
  <c r="H91" i="17"/>
  <c r="N200" i="17"/>
  <c r="N140" i="17"/>
  <c r="O80" i="17"/>
  <c r="O193" i="17"/>
  <c r="N189" i="17"/>
  <c r="N129" i="17"/>
  <c r="O66" i="17"/>
  <c r="G178" i="17"/>
  <c r="G118" i="17"/>
  <c r="H55" i="17"/>
  <c r="I174" i="17"/>
  <c r="I114" i="17"/>
  <c r="F190" i="17"/>
  <c r="N196" i="17"/>
  <c r="N136" i="17"/>
  <c r="O75" i="17"/>
  <c r="M178" i="17"/>
  <c r="M118" i="17"/>
  <c r="N55" i="17"/>
  <c r="H161" i="17"/>
  <c r="H101" i="17"/>
  <c r="I37" i="17"/>
  <c r="M170" i="17"/>
  <c r="M110" i="17"/>
  <c r="N46" i="17"/>
  <c r="I8" i="17"/>
  <c r="H16" i="17"/>
  <c r="E190" i="17"/>
  <c r="G205" i="17"/>
  <c r="G145" i="17"/>
  <c r="H86" i="17"/>
  <c r="G198" i="17"/>
  <c r="G138" i="17"/>
  <c r="H78" i="17"/>
  <c r="G128" i="17"/>
  <c r="G188" i="17"/>
  <c r="H65" i="17"/>
  <c r="G180" i="17"/>
  <c r="G120" i="17"/>
  <c r="H57" i="17"/>
  <c r="H196" i="17"/>
  <c r="H136" i="17"/>
  <c r="I75" i="17"/>
  <c r="M182" i="17"/>
  <c r="M122" i="17"/>
  <c r="N59" i="17"/>
  <c r="M171" i="17"/>
  <c r="M111" i="17"/>
  <c r="N48" i="17"/>
  <c r="M163" i="17"/>
  <c r="M103" i="17"/>
  <c r="N39" i="17"/>
  <c r="H200" i="17"/>
  <c r="H140" i="17"/>
  <c r="I80" i="17"/>
  <c r="G182" i="17"/>
  <c r="G122" i="17"/>
  <c r="H59" i="17"/>
  <c r="M179" i="17"/>
  <c r="M119" i="17"/>
  <c r="N56" i="17"/>
  <c r="G164" i="17"/>
  <c r="G104" i="17"/>
  <c r="H40" i="17"/>
  <c r="O201" i="17"/>
  <c r="O141" i="17"/>
  <c r="P81" i="17"/>
  <c r="H194" i="17"/>
  <c r="H134" i="17"/>
  <c r="I73" i="17"/>
  <c r="G183" i="17"/>
  <c r="G123" i="17"/>
  <c r="H60" i="17"/>
  <c r="M164" i="17"/>
  <c r="M104" i="17"/>
  <c r="N40" i="17"/>
  <c r="N160" i="17"/>
  <c r="N100" i="17"/>
  <c r="O36" i="17"/>
  <c r="O197" i="17"/>
  <c r="O137" i="17"/>
  <c r="P76" i="17"/>
  <c r="M183" i="17"/>
  <c r="M123" i="17"/>
  <c r="N60" i="17"/>
  <c r="G165" i="17"/>
  <c r="G105" i="17"/>
  <c r="H41" i="17"/>
  <c r="O175" i="17"/>
  <c r="O115" i="17"/>
  <c r="P52" i="17"/>
  <c r="M207" i="17"/>
  <c r="M147" i="17"/>
  <c r="N88" i="17"/>
  <c r="M206" i="17"/>
  <c r="M146" i="17"/>
  <c r="N87" i="17"/>
  <c r="G203" i="17"/>
  <c r="G143" i="17"/>
  <c r="H84" i="17"/>
  <c r="G92" i="17"/>
  <c r="M181" i="17"/>
  <c r="M121" i="17"/>
  <c r="N58" i="17"/>
  <c r="G171" i="17"/>
  <c r="G111" i="17"/>
  <c r="H48" i="17"/>
  <c r="M187" i="17"/>
  <c r="M127" i="17"/>
  <c r="N64" i="17"/>
  <c r="G172" i="17"/>
  <c r="G112" i="17"/>
  <c r="H49" i="17"/>
  <c r="P71" i="17"/>
  <c r="G187" i="17"/>
  <c r="G127" i="17"/>
  <c r="H64" i="17"/>
  <c r="G169" i="17"/>
  <c r="G109" i="17"/>
  <c r="G68" i="17"/>
  <c r="H45" i="17"/>
  <c r="H202" i="17"/>
  <c r="H142" i="17"/>
  <c r="I82" i="17"/>
  <c r="H163" i="17"/>
  <c r="H103" i="17"/>
  <c r="I39" i="17"/>
  <c r="H159" i="17"/>
  <c r="H99" i="17"/>
  <c r="I35" i="17"/>
  <c r="L106" i="17"/>
  <c r="I199" i="17"/>
  <c r="I139" i="17"/>
  <c r="G185" i="17"/>
  <c r="G125" i="17"/>
  <c r="H62" i="17"/>
  <c r="H176" i="17"/>
  <c r="H116" i="17"/>
  <c r="I53" i="17"/>
  <c r="R5" i="17"/>
  <c r="A6" i="17"/>
  <c r="I197" i="17"/>
  <c r="I137" i="17"/>
  <c r="M208" i="17"/>
  <c r="M148" i="17"/>
  <c r="N89" i="17"/>
  <c r="F151" i="17"/>
  <c r="M159" i="17"/>
  <c r="M99" i="17"/>
  <c r="M42" i="17"/>
  <c r="N35" i="17"/>
  <c r="I201" i="17"/>
  <c r="I141" i="17"/>
  <c r="H189" i="17"/>
  <c r="H129" i="17"/>
  <c r="I66" i="17"/>
  <c r="F130" i="17"/>
  <c r="H27" i="17"/>
  <c r="I21" i="17"/>
  <c r="D29" i="16"/>
  <c r="F213" i="17" l="1"/>
  <c r="J56" i="31"/>
  <c r="K56" i="31"/>
  <c r="B56" i="31"/>
  <c r="C56" i="31"/>
  <c r="A57" i="31"/>
  <c r="H56" i="31"/>
  <c r="E56" i="31"/>
  <c r="G56" i="31"/>
  <c r="F57" i="30"/>
  <c r="H57" i="30"/>
  <c r="K57" i="30"/>
  <c r="A58" i="30"/>
  <c r="J57" i="30"/>
  <c r="E57" i="30"/>
  <c r="O50" i="17"/>
  <c r="O173" i="17" s="1"/>
  <c r="N113" i="17"/>
  <c r="P72" i="17"/>
  <c r="O78" i="17"/>
  <c r="H49" i="18"/>
  <c r="D213" i="17"/>
  <c r="H42" i="17"/>
  <c r="G166" i="17"/>
  <c r="H92" i="17"/>
  <c r="G151" i="17"/>
  <c r="I29" i="18"/>
  <c r="J30" i="18"/>
  <c r="G106" i="17"/>
  <c r="G211" i="17"/>
  <c r="E213" i="17"/>
  <c r="J50" i="18"/>
  <c r="K51" i="18"/>
  <c r="M18" i="19"/>
  <c r="A19" i="19"/>
  <c r="F5" i="19"/>
  <c r="F13" i="19" s="1"/>
  <c r="E13" i="19"/>
  <c r="M6" i="19"/>
  <c r="A7" i="19"/>
  <c r="M45" i="18"/>
  <c r="L46" i="18"/>
  <c r="J35" i="18"/>
  <c r="I36" i="16" s="1"/>
  <c r="I34" i="18"/>
  <c r="I49" i="18" s="1"/>
  <c r="J51" i="18"/>
  <c r="K50" i="18"/>
  <c r="M25" i="18"/>
  <c r="L26" i="18"/>
  <c r="M20" i="18"/>
  <c r="L21" i="18"/>
  <c r="M40" i="18"/>
  <c r="L41" i="18"/>
  <c r="O8" i="18"/>
  <c r="A9" i="18"/>
  <c r="C29" i="16"/>
  <c r="J21" i="17"/>
  <c r="I27" i="17"/>
  <c r="N159" i="17"/>
  <c r="N99" i="17"/>
  <c r="N42" i="17"/>
  <c r="O35" i="17"/>
  <c r="I176" i="17"/>
  <c r="I116" i="17"/>
  <c r="H169" i="17"/>
  <c r="H68" i="17"/>
  <c r="I45" i="17"/>
  <c r="H109" i="17"/>
  <c r="H171" i="17"/>
  <c r="H111" i="17"/>
  <c r="I48" i="17"/>
  <c r="I99" i="17"/>
  <c r="I159" i="17"/>
  <c r="I202" i="17"/>
  <c r="I142" i="17"/>
  <c r="J82" i="17"/>
  <c r="N207" i="17"/>
  <c r="N147" i="17"/>
  <c r="O88" i="17"/>
  <c r="H183" i="17"/>
  <c r="H123" i="17"/>
  <c r="I60" i="17"/>
  <c r="I200" i="17"/>
  <c r="I140" i="17"/>
  <c r="N171" i="17"/>
  <c r="N111" i="17"/>
  <c r="O48" i="17"/>
  <c r="H29" i="17"/>
  <c r="O196" i="17"/>
  <c r="O136" i="17"/>
  <c r="P75" i="17"/>
  <c r="M106" i="17"/>
  <c r="A7" i="17"/>
  <c r="R6" i="17"/>
  <c r="G130" i="17"/>
  <c r="H172" i="17"/>
  <c r="I49" i="17"/>
  <c r="H112" i="17"/>
  <c r="N206" i="17"/>
  <c r="N146" i="17"/>
  <c r="O87" i="17"/>
  <c r="N164" i="17"/>
  <c r="N104" i="17"/>
  <c r="O40" i="17"/>
  <c r="N179" i="17"/>
  <c r="N119" i="17"/>
  <c r="O56" i="17"/>
  <c r="N163" i="17"/>
  <c r="N103" i="17"/>
  <c r="O39" i="17"/>
  <c r="H180" i="17"/>
  <c r="H120" i="17"/>
  <c r="I57" i="17"/>
  <c r="I16" i="17"/>
  <c r="I161" i="17"/>
  <c r="I101" i="17"/>
  <c r="N178" i="17"/>
  <c r="N118" i="17"/>
  <c r="O55" i="17"/>
  <c r="P193" i="17"/>
  <c r="P133" i="17"/>
  <c r="Q72" i="17"/>
  <c r="O176" i="17"/>
  <c r="O116" i="17"/>
  <c r="P53" i="17"/>
  <c r="N210" i="17"/>
  <c r="N150" i="17"/>
  <c r="O91" i="17"/>
  <c r="P195" i="17"/>
  <c r="P135" i="17"/>
  <c r="Q74" i="17"/>
  <c r="H206" i="17"/>
  <c r="H146" i="17"/>
  <c r="I87" i="17"/>
  <c r="H177" i="17"/>
  <c r="I54" i="17"/>
  <c r="H117" i="17"/>
  <c r="N165" i="17"/>
  <c r="N105" i="17"/>
  <c r="O41" i="17"/>
  <c r="H179" i="17"/>
  <c r="H119" i="17"/>
  <c r="I56" i="17"/>
  <c r="H209" i="17"/>
  <c r="H149" i="17"/>
  <c r="I90" i="17"/>
  <c r="I189" i="17"/>
  <c r="I129" i="17"/>
  <c r="M166" i="17"/>
  <c r="H185" i="17"/>
  <c r="H125" i="17"/>
  <c r="I62" i="17"/>
  <c r="G190" i="17"/>
  <c r="Q71" i="17"/>
  <c r="N181" i="17"/>
  <c r="N121" i="17"/>
  <c r="O58" i="17"/>
  <c r="H203" i="17"/>
  <c r="H143" i="17"/>
  <c r="I84" i="17"/>
  <c r="H165" i="17"/>
  <c r="H105" i="17"/>
  <c r="I41" i="17"/>
  <c r="O160" i="17"/>
  <c r="O100" i="17"/>
  <c r="P36" i="17"/>
  <c r="H164" i="17"/>
  <c r="H104" i="17"/>
  <c r="I40" i="17"/>
  <c r="I196" i="17"/>
  <c r="I136" i="17"/>
  <c r="N170" i="17"/>
  <c r="N110" i="17"/>
  <c r="O46" i="17"/>
  <c r="O189" i="17"/>
  <c r="O129" i="17"/>
  <c r="P66" i="17"/>
  <c r="N161" i="17"/>
  <c r="N101" i="17"/>
  <c r="O37" i="17"/>
  <c r="P199" i="17"/>
  <c r="P139" i="17"/>
  <c r="Q79" i="17"/>
  <c r="H186" i="17"/>
  <c r="I63" i="17"/>
  <c r="H126" i="17"/>
  <c r="N203" i="17"/>
  <c r="N143" i="17"/>
  <c r="O84" i="17"/>
  <c r="H160" i="17"/>
  <c r="H100" i="17"/>
  <c r="I36" i="17"/>
  <c r="H173" i="17"/>
  <c r="I50" i="17"/>
  <c r="H113" i="17"/>
  <c r="H204" i="17"/>
  <c r="H144" i="17"/>
  <c r="I85" i="17"/>
  <c r="H184" i="17"/>
  <c r="H124" i="17"/>
  <c r="I61" i="17"/>
  <c r="N204" i="17"/>
  <c r="N144" i="17"/>
  <c r="O85" i="17"/>
  <c r="P175" i="17"/>
  <c r="P115" i="17"/>
  <c r="Q52" i="17"/>
  <c r="P201" i="17"/>
  <c r="P141" i="17"/>
  <c r="Q81" i="17"/>
  <c r="N182" i="17"/>
  <c r="N122" i="17"/>
  <c r="O59" i="17"/>
  <c r="H205" i="17"/>
  <c r="H145" i="17"/>
  <c r="I86" i="17"/>
  <c r="H178" i="17"/>
  <c r="I55" i="17"/>
  <c r="H118" i="17"/>
  <c r="H210" i="17"/>
  <c r="H150" i="17"/>
  <c r="I91" i="17"/>
  <c r="F153" i="17"/>
  <c r="H170" i="17"/>
  <c r="H110" i="17"/>
  <c r="I46" i="17"/>
  <c r="I175" i="17"/>
  <c r="I115" i="17"/>
  <c r="N185" i="17"/>
  <c r="N125" i="17"/>
  <c r="O62" i="17"/>
  <c r="N184" i="17"/>
  <c r="N124" i="17"/>
  <c r="O61" i="17"/>
  <c r="N180" i="17"/>
  <c r="N120" i="17"/>
  <c r="O57" i="17"/>
  <c r="O198" i="17"/>
  <c r="O138" i="17"/>
  <c r="P78" i="17"/>
  <c r="O194" i="17"/>
  <c r="O134" i="17"/>
  <c r="P73" i="17"/>
  <c r="N183" i="17"/>
  <c r="N123" i="17"/>
  <c r="O60" i="17"/>
  <c r="I194" i="17"/>
  <c r="I134" i="17"/>
  <c r="H188" i="17"/>
  <c r="H128" i="17"/>
  <c r="I65" i="17"/>
  <c r="O200" i="17"/>
  <c r="O140" i="17"/>
  <c r="P80" i="17"/>
  <c r="H181" i="17"/>
  <c r="H121" i="17"/>
  <c r="I58" i="17"/>
  <c r="O162" i="17"/>
  <c r="O102" i="17"/>
  <c r="P38" i="17"/>
  <c r="H162" i="17"/>
  <c r="H102" i="17"/>
  <c r="I38" i="17"/>
  <c r="N205" i="17"/>
  <c r="N145" i="17"/>
  <c r="O86" i="17"/>
  <c r="H207" i="17"/>
  <c r="H147" i="17"/>
  <c r="I88" i="17"/>
  <c r="H208" i="17"/>
  <c r="H148" i="17"/>
  <c r="I89" i="17"/>
  <c r="N186" i="17"/>
  <c r="N126" i="17"/>
  <c r="O63" i="17"/>
  <c r="N174" i="17"/>
  <c r="N114" i="17"/>
  <c r="O51" i="17"/>
  <c r="M188" i="17"/>
  <c r="M128" i="17"/>
  <c r="N65" i="17"/>
  <c r="H127" i="17"/>
  <c r="H187" i="17"/>
  <c r="I64" i="17"/>
  <c r="P197" i="17"/>
  <c r="P137" i="17"/>
  <c r="Q76" i="17"/>
  <c r="N208" i="17"/>
  <c r="N148" i="17"/>
  <c r="O89" i="17"/>
  <c r="I163" i="17"/>
  <c r="I103" i="17"/>
  <c r="N187" i="17"/>
  <c r="N127" i="17"/>
  <c r="O64" i="17"/>
  <c r="H182" i="17"/>
  <c r="I59" i="17"/>
  <c r="H122" i="17"/>
  <c r="H198" i="17"/>
  <c r="H138" i="17"/>
  <c r="I78" i="17"/>
  <c r="G94" i="17"/>
  <c r="B61" i="16"/>
  <c r="D61" i="16"/>
  <c r="D63" i="16" s="1"/>
  <c r="D65" i="16" s="1"/>
  <c r="L44" i="16"/>
  <c r="E33" i="16"/>
  <c r="A6" i="21"/>
  <c r="A7" i="21" s="1"/>
  <c r="A8" i="21" s="1"/>
  <c r="A9" i="21" s="1"/>
  <c r="A10" i="21" s="1"/>
  <c r="A11" i="21" s="1"/>
  <c r="A12" i="21" s="1"/>
  <c r="A13" i="21" s="1"/>
  <c r="A14" i="21" s="1"/>
  <c r="D26" i="13"/>
  <c r="C26" i="13"/>
  <c r="G25" i="13"/>
  <c r="H25" i="13" s="1"/>
  <c r="I25" i="13" s="1"/>
  <c r="J25" i="13" s="1"/>
  <c r="K25" i="13" s="1"/>
  <c r="L25" i="13" s="1"/>
  <c r="G24" i="13"/>
  <c r="H24" i="13" s="1"/>
  <c r="I24" i="13" s="1"/>
  <c r="J24" i="13" s="1"/>
  <c r="K24" i="13" s="1"/>
  <c r="L24" i="13" s="1"/>
  <c r="G23" i="13"/>
  <c r="H23" i="13" s="1"/>
  <c r="I23" i="13" s="1"/>
  <c r="J23" i="13" s="1"/>
  <c r="K23" i="13" s="1"/>
  <c r="L23" i="13" s="1"/>
  <c r="G22" i="13"/>
  <c r="H22" i="13" s="1"/>
  <c r="I22" i="13" s="1"/>
  <c r="J22" i="13" s="1"/>
  <c r="K22" i="13" s="1"/>
  <c r="L22" i="13" s="1"/>
  <c r="E22" i="13"/>
  <c r="E26" i="13" s="1"/>
  <c r="G21" i="13"/>
  <c r="H21" i="13" s="1"/>
  <c r="I21" i="13" s="1"/>
  <c r="J21" i="13" s="1"/>
  <c r="K21" i="13" s="1"/>
  <c r="L21" i="13" s="1"/>
  <c r="F20" i="13"/>
  <c r="G20" i="13" s="1"/>
  <c r="H20" i="13" s="1"/>
  <c r="I20" i="13" s="1"/>
  <c r="J20" i="13" s="1"/>
  <c r="K20" i="13" s="1"/>
  <c r="L20" i="13" s="1"/>
  <c r="F19" i="13"/>
  <c r="G19" i="13" s="1"/>
  <c r="H19" i="13" s="1"/>
  <c r="F22" i="15"/>
  <c r="G22" i="15" s="1"/>
  <c r="I48" i="13"/>
  <c r="E46" i="13"/>
  <c r="H94" i="17" l="1"/>
  <c r="P50" i="17"/>
  <c r="O113" i="17"/>
  <c r="G153" i="17"/>
  <c r="E57" i="31"/>
  <c r="F57" i="31"/>
  <c r="H57" i="31"/>
  <c r="C57" i="31"/>
  <c r="B57" i="31"/>
  <c r="J57" i="31"/>
  <c r="K57" i="31"/>
  <c r="A58" i="31"/>
  <c r="E58" i="30"/>
  <c r="G58" i="30"/>
  <c r="J58" i="30"/>
  <c r="H58" i="30"/>
  <c r="K58" i="30"/>
  <c r="A59" i="30"/>
  <c r="I29" i="17"/>
  <c r="H166" i="17"/>
  <c r="H211" i="17"/>
  <c r="I42" i="17"/>
  <c r="H106" i="17"/>
  <c r="K30" i="18"/>
  <c r="J29" i="18"/>
  <c r="H151" i="17"/>
  <c r="G213" i="17"/>
  <c r="J3" i="21"/>
  <c r="J4" i="21"/>
  <c r="A8" i="19"/>
  <c r="M7" i="19"/>
  <c r="M19" i="19"/>
  <c r="A20" i="19"/>
  <c r="N40" i="18"/>
  <c r="N41" i="18" s="1"/>
  <c r="M41" i="18"/>
  <c r="M26" i="18"/>
  <c r="N25" i="18"/>
  <c r="N26" i="18" s="1"/>
  <c r="A10" i="18"/>
  <c r="O9" i="18"/>
  <c r="L51" i="18"/>
  <c r="L50" i="18"/>
  <c r="J34" i="18"/>
  <c r="K35" i="18"/>
  <c r="J36" i="16" s="1"/>
  <c r="M21" i="18"/>
  <c r="N20" i="18"/>
  <c r="N21" i="18" s="1"/>
  <c r="M46" i="18"/>
  <c r="N45" i="18"/>
  <c r="N46" i="18" s="1"/>
  <c r="O187" i="17"/>
  <c r="O127" i="17"/>
  <c r="P64" i="17"/>
  <c r="O208" i="17"/>
  <c r="O148" i="17"/>
  <c r="P89" i="17"/>
  <c r="O174" i="17"/>
  <c r="O114" i="17"/>
  <c r="P51" i="17"/>
  <c r="P194" i="17"/>
  <c r="Q73" i="17"/>
  <c r="P134" i="17"/>
  <c r="O185" i="17"/>
  <c r="O125" i="17"/>
  <c r="P62" i="17"/>
  <c r="I184" i="17"/>
  <c r="I124" i="17"/>
  <c r="O170" i="17"/>
  <c r="O110" i="17"/>
  <c r="P46" i="17"/>
  <c r="I198" i="17"/>
  <c r="J78" i="17"/>
  <c r="I138" i="17"/>
  <c r="I182" i="17"/>
  <c r="I122" i="17"/>
  <c r="N188" i="17"/>
  <c r="N128" i="17"/>
  <c r="O65" i="17"/>
  <c r="I207" i="17"/>
  <c r="I147" i="17"/>
  <c r="P200" i="17"/>
  <c r="P140" i="17"/>
  <c r="Q80" i="17"/>
  <c r="O183" i="17"/>
  <c r="O123" i="17"/>
  <c r="P60" i="17"/>
  <c r="O184" i="17"/>
  <c r="O124" i="17"/>
  <c r="P61" i="17"/>
  <c r="I170" i="17"/>
  <c r="I110" i="17"/>
  <c r="I210" i="17"/>
  <c r="I150" i="17"/>
  <c r="Q175" i="17"/>
  <c r="Q115" i="17"/>
  <c r="O204" i="17"/>
  <c r="O144" i="17"/>
  <c r="P85" i="17"/>
  <c r="I160" i="17"/>
  <c r="I100" i="17"/>
  <c r="O161" i="17"/>
  <c r="O101" i="17"/>
  <c r="P37" i="17"/>
  <c r="P189" i="17"/>
  <c r="P129" i="17"/>
  <c r="Q66" i="17"/>
  <c r="I164" i="17"/>
  <c r="I104" i="17"/>
  <c r="O181" i="17"/>
  <c r="O121" i="17"/>
  <c r="P58" i="17"/>
  <c r="I179" i="17"/>
  <c r="I119" i="17"/>
  <c r="Q195" i="17"/>
  <c r="Q135" i="17"/>
  <c r="I180" i="17"/>
  <c r="I120" i="17"/>
  <c r="P173" i="17"/>
  <c r="P113" i="17"/>
  <c r="Q50" i="17"/>
  <c r="A8" i="17"/>
  <c r="R7" i="17"/>
  <c r="I171" i="17"/>
  <c r="I111" i="17"/>
  <c r="I169" i="17"/>
  <c r="I109" i="17"/>
  <c r="I68" i="17"/>
  <c r="J45" i="17"/>
  <c r="N106" i="17"/>
  <c r="I187" i="17"/>
  <c r="I127" i="17"/>
  <c r="I208" i="17"/>
  <c r="I148" i="17"/>
  <c r="P162" i="17"/>
  <c r="P102" i="17"/>
  <c r="Q38" i="17"/>
  <c r="I181" i="17"/>
  <c r="I121" i="17"/>
  <c r="O180" i="17"/>
  <c r="O120" i="17"/>
  <c r="P57" i="17"/>
  <c r="I178" i="17"/>
  <c r="I118" i="17"/>
  <c r="Q201" i="17"/>
  <c r="Q141" i="17"/>
  <c r="Q199" i="17"/>
  <c r="Q139" i="17"/>
  <c r="I203" i="17"/>
  <c r="I143" i="17"/>
  <c r="I209" i="17"/>
  <c r="I149" i="17"/>
  <c r="J90" i="17"/>
  <c r="I206" i="17"/>
  <c r="I146" i="17"/>
  <c r="J87" i="17"/>
  <c r="O118" i="17"/>
  <c r="O178" i="17"/>
  <c r="P55" i="17"/>
  <c r="O164" i="17"/>
  <c r="O104" i="17"/>
  <c r="P40" i="17"/>
  <c r="J202" i="17"/>
  <c r="J142" i="17"/>
  <c r="K82" i="17"/>
  <c r="N166" i="17"/>
  <c r="Q197" i="17"/>
  <c r="Q137" i="17"/>
  <c r="O186" i="17"/>
  <c r="O126" i="17"/>
  <c r="P63" i="17"/>
  <c r="I162" i="17"/>
  <c r="I102" i="17"/>
  <c r="P198" i="17"/>
  <c r="Q78" i="17"/>
  <c r="P138" i="17"/>
  <c r="O182" i="17"/>
  <c r="O122" i="17"/>
  <c r="P59" i="17"/>
  <c r="I204" i="17"/>
  <c r="I144" i="17"/>
  <c r="I113" i="17"/>
  <c r="I173" i="17"/>
  <c r="I165" i="17"/>
  <c r="I105" i="17"/>
  <c r="Q193" i="17"/>
  <c r="Q133" i="17"/>
  <c r="K8" i="17"/>
  <c r="J16" i="17"/>
  <c r="O179" i="17"/>
  <c r="O119" i="17"/>
  <c r="P56" i="17"/>
  <c r="P196" i="17"/>
  <c r="Q75" i="17"/>
  <c r="P136" i="17"/>
  <c r="O171" i="17"/>
  <c r="O111" i="17"/>
  <c r="P48" i="17"/>
  <c r="O207" i="17"/>
  <c r="O147" i="17"/>
  <c r="P88" i="17"/>
  <c r="H190" i="17"/>
  <c r="H213" i="17" s="1"/>
  <c r="O159" i="17"/>
  <c r="O99" i="17"/>
  <c r="P35" i="17"/>
  <c r="O42" i="17"/>
  <c r="O205" i="17"/>
  <c r="O145" i="17"/>
  <c r="P86" i="17"/>
  <c r="I188" i="17"/>
  <c r="I128" i="17"/>
  <c r="I205" i="17"/>
  <c r="I145" i="17"/>
  <c r="O203" i="17"/>
  <c r="O143" i="17"/>
  <c r="P84" i="17"/>
  <c r="I186" i="17"/>
  <c r="I126" i="17"/>
  <c r="P160" i="17"/>
  <c r="Q36" i="17"/>
  <c r="P100" i="17"/>
  <c r="I185" i="17"/>
  <c r="I125" i="17"/>
  <c r="O165" i="17"/>
  <c r="O105" i="17"/>
  <c r="P41" i="17"/>
  <c r="I177" i="17"/>
  <c r="I117" i="17"/>
  <c r="J54" i="17"/>
  <c r="O210" i="17"/>
  <c r="O150" i="17"/>
  <c r="P91" i="17"/>
  <c r="P176" i="17"/>
  <c r="P116" i="17"/>
  <c r="Q53" i="17"/>
  <c r="O163" i="17"/>
  <c r="O103" i="17"/>
  <c r="P39" i="17"/>
  <c r="O206" i="17"/>
  <c r="O146" i="17"/>
  <c r="P87" i="17"/>
  <c r="I172" i="17"/>
  <c r="I112" i="17"/>
  <c r="J49" i="17"/>
  <c r="I183" i="17"/>
  <c r="I123" i="17"/>
  <c r="H130" i="17"/>
  <c r="J27" i="17"/>
  <c r="K21" i="17"/>
  <c r="I92" i="17"/>
  <c r="I94" i="17" s="1"/>
  <c r="F26" i="13"/>
  <c r="H26" i="13"/>
  <c r="I19" i="13"/>
  <c r="G26" i="13"/>
  <c r="J49" i="18" l="1"/>
  <c r="B58" i="31"/>
  <c r="C58" i="31"/>
  <c r="A59" i="31"/>
  <c r="G58" i="31"/>
  <c r="E58" i="31"/>
  <c r="H58" i="31"/>
  <c r="J58" i="31"/>
  <c r="K58" i="31"/>
  <c r="A60" i="30"/>
  <c r="E59" i="30"/>
  <c r="H59" i="30"/>
  <c r="F59" i="30"/>
  <c r="J59" i="30"/>
  <c r="K59" i="30"/>
  <c r="H153" i="17"/>
  <c r="I106" i="17"/>
  <c r="I166" i="17"/>
  <c r="I211" i="17"/>
  <c r="K29" i="18"/>
  <c r="L30" i="18"/>
  <c r="I151" i="17"/>
  <c r="K3" i="21"/>
  <c r="K4" i="21"/>
  <c r="M8" i="19"/>
  <c r="A9" i="19"/>
  <c r="M20" i="19"/>
  <c r="A21" i="19"/>
  <c r="M50" i="18"/>
  <c r="A11" i="18"/>
  <c r="O10" i="18"/>
  <c r="N51" i="18"/>
  <c r="K34" i="18"/>
  <c r="L35" i="18"/>
  <c r="K36" i="16" s="1"/>
  <c r="N50" i="18"/>
  <c r="M51" i="18"/>
  <c r="P210" i="17"/>
  <c r="P150" i="17"/>
  <c r="Q91" i="17"/>
  <c r="J172" i="17"/>
  <c r="J112" i="17"/>
  <c r="K49" i="17"/>
  <c r="J177" i="17"/>
  <c r="J117" i="17"/>
  <c r="K54" i="17"/>
  <c r="O166" i="17"/>
  <c r="P179" i="17"/>
  <c r="Q56" i="17"/>
  <c r="P119" i="17"/>
  <c r="K16" i="17"/>
  <c r="K202" i="17"/>
  <c r="K142" i="17"/>
  <c r="L82" i="17"/>
  <c r="P164" i="17"/>
  <c r="Q40" i="17"/>
  <c r="P104" i="17"/>
  <c r="P180" i="17"/>
  <c r="P120" i="17"/>
  <c r="Q57" i="17"/>
  <c r="I190" i="17"/>
  <c r="J198" i="17"/>
  <c r="J138" i="17"/>
  <c r="J92" i="17"/>
  <c r="E28" i="16" s="1"/>
  <c r="P208" i="17"/>
  <c r="P148" i="17"/>
  <c r="Q89" i="17"/>
  <c r="J169" i="17"/>
  <c r="J109" i="17"/>
  <c r="J68" i="17"/>
  <c r="E27" i="16" s="1"/>
  <c r="K45" i="17"/>
  <c r="Q200" i="17"/>
  <c r="Q140" i="17"/>
  <c r="P174" i="17"/>
  <c r="P114" i="17"/>
  <c r="Q51" i="17"/>
  <c r="Q162" i="17"/>
  <c r="Q102" i="17"/>
  <c r="P161" i="17"/>
  <c r="P101" i="17"/>
  <c r="Q37" i="17"/>
  <c r="P203" i="17"/>
  <c r="Q84" i="17"/>
  <c r="P143" i="17"/>
  <c r="Q198" i="17"/>
  <c r="Q138" i="17"/>
  <c r="Q173" i="17"/>
  <c r="Q113" i="17"/>
  <c r="Q189" i="17"/>
  <c r="Q129" i="17"/>
  <c r="P204" i="17"/>
  <c r="P144" i="17"/>
  <c r="Q85" i="17"/>
  <c r="P183" i="17"/>
  <c r="Q60" i="17"/>
  <c r="P123" i="17"/>
  <c r="O188" i="17"/>
  <c r="O128" i="17"/>
  <c r="P65" i="17"/>
  <c r="P170" i="17"/>
  <c r="P110" i="17"/>
  <c r="Q46" i="17"/>
  <c r="J209" i="17"/>
  <c r="J149" i="17"/>
  <c r="K90" i="17"/>
  <c r="K92" i="17" s="1"/>
  <c r="A9" i="17"/>
  <c r="R8" i="17"/>
  <c r="P181" i="17"/>
  <c r="Q58" i="17"/>
  <c r="P121" i="17"/>
  <c r="K27" i="17"/>
  <c r="L21" i="17"/>
  <c r="P163" i="17"/>
  <c r="P103" i="17"/>
  <c r="Q39" i="17"/>
  <c r="Q176" i="17"/>
  <c r="Q116" i="17"/>
  <c r="Q160" i="17"/>
  <c r="Q100" i="17"/>
  <c r="P205" i="17"/>
  <c r="P145" i="17"/>
  <c r="Q86" i="17"/>
  <c r="P159" i="17"/>
  <c r="P99" i="17"/>
  <c r="Q35" i="17"/>
  <c r="P42" i="17"/>
  <c r="P171" i="17"/>
  <c r="Q48" i="17"/>
  <c r="P111" i="17"/>
  <c r="Q196" i="17"/>
  <c r="Q136" i="17"/>
  <c r="P182" i="17"/>
  <c r="P122" i="17"/>
  <c r="Q59" i="17"/>
  <c r="P186" i="17"/>
  <c r="P126" i="17"/>
  <c r="Q63" i="17"/>
  <c r="J206" i="17"/>
  <c r="J146" i="17"/>
  <c r="P206" i="17"/>
  <c r="Q87" i="17"/>
  <c r="P146" i="17"/>
  <c r="P165" i="17"/>
  <c r="P105" i="17"/>
  <c r="Q41" i="17"/>
  <c r="O106" i="17"/>
  <c r="P207" i="17"/>
  <c r="Q88" i="17"/>
  <c r="P147" i="17"/>
  <c r="J29" i="17"/>
  <c r="P178" i="17"/>
  <c r="P118" i="17"/>
  <c r="Q55" i="17"/>
  <c r="I130" i="17"/>
  <c r="P184" i="17"/>
  <c r="P124" i="17"/>
  <c r="Q61" i="17"/>
  <c r="Q62" i="17"/>
  <c r="P185" i="17"/>
  <c r="P125" i="17"/>
  <c r="Q194" i="17"/>
  <c r="Q134" i="17"/>
  <c r="P187" i="17"/>
  <c r="Q64" i="17"/>
  <c r="P127" i="17"/>
  <c r="J19" i="13"/>
  <c r="I26" i="13"/>
  <c r="J44" i="13"/>
  <c r="H59" i="31" l="1"/>
  <c r="J59" i="31"/>
  <c r="K59" i="31"/>
  <c r="F59" i="31"/>
  <c r="A60" i="31"/>
  <c r="B59" i="31"/>
  <c r="C59" i="31"/>
  <c r="E59" i="31"/>
  <c r="A61" i="30"/>
  <c r="G60" i="30"/>
  <c r="K60" i="30"/>
  <c r="E60" i="30"/>
  <c r="H60" i="30"/>
  <c r="J60" i="30"/>
  <c r="J190" i="17"/>
  <c r="I153" i="17"/>
  <c r="I213" i="17"/>
  <c r="F28" i="16"/>
  <c r="E29" i="16"/>
  <c r="E11" i="16" s="1"/>
  <c r="K29" i="17"/>
  <c r="J130" i="17"/>
  <c r="K49" i="18"/>
  <c r="M30" i="18"/>
  <c r="L29" i="18"/>
  <c r="L3" i="21"/>
  <c r="L4" i="21"/>
  <c r="A10" i="19"/>
  <c r="M9" i="19"/>
  <c r="M21" i="19"/>
  <c r="A22" i="19"/>
  <c r="L34" i="18"/>
  <c r="M35" i="18"/>
  <c r="L36" i="16" s="1"/>
  <c r="A12" i="18"/>
  <c r="O11" i="18"/>
  <c r="A10" i="17"/>
  <c r="R9" i="17"/>
  <c r="Q185" i="17"/>
  <c r="Q125" i="17"/>
  <c r="P166" i="17"/>
  <c r="Q163" i="17"/>
  <c r="Q103" i="17"/>
  <c r="P188" i="17"/>
  <c r="P128" i="17"/>
  <c r="Q65" i="17"/>
  <c r="Q183" i="17"/>
  <c r="Q123" i="17"/>
  <c r="L202" i="17"/>
  <c r="M82" i="17"/>
  <c r="L142" i="17"/>
  <c r="M8" i="17"/>
  <c r="Q184" i="17"/>
  <c r="Q124" i="17"/>
  <c r="Q178" i="17"/>
  <c r="Q118" i="17"/>
  <c r="Q170" i="17"/>
  <c r="Q110" i="17"/>
  <c r="K172" i="17"/>
  <c r="K112" i="17"/>
  <c r="L49" i="17"/>
  <c r="Q210" i="17"/>
  <c r="Q150" i="17"/>
  <c r="Q187" i="17"/>
  <c r="Q127" i="17"/>
  <c r="Q165" i="17"/>
  <c r="Q105" i="17"/>
  <c r="Q206" i="17"/>
  <c r="Q146" i="17"/>
  <c r="Q186" i="17"/>
  <c r="Q126" i="17"/>
  <c r="Q159" i="17"/>
  <c r="Q99" i="17"/>
  <c r="Q42" i="17"/>
  <c r="Q181" i="17"/>
  <c r="Q121" i="17"/>
  <c r="K209" i="17"/>
  <c r="K211" i="17" s="1"/>
  <c r="K149" i="17"/>
  <c r="K151" i="17" s="1"/>
  <c r="L90" i="17"/>
  <c r="Q204" i="17"/>
  <c r="Q144" i="17"/>
  <c r="K169" i="17"/>
  <c r="K109" i="17"/>
  <c r="L45" i="17"/>
  <c r="K68" i="17"/>
  <c r="Q208" i="17"/>
  <c r="Q148" i="17"/>
  <c r="J151" i="17"/>
  <c r="Q180" i="17"/>
  <c r="Q120" i="17"/>
  <c r="Q164" i="17"/>
  <c r="Q104" i="17"/>
  <c r="K177" i="17"/>
  <c r="K117" i="17"/>
  <c r="L54" i="17"/>
  <c r="Q182" i="17"/>
  <c r="Q122" i="17"/>
  <c r="Q205" i="17"/>
  <c r="Q145" i="17"/>
  <c r="Q203" i="17"/>
  <c r="Q143" i="17"/>
  <c r="Q174" i="17"/>
  <c r="Q114" i="17"/>
  <c r="Q207" i="17"/>
  <c r="Q147" i="17"/>
  <c r="Q171" i="17"/>
  <c r="Q111" i="17"/>
  <c r="P106" i="17"/>
  <c r="L27" i="17"/>
  <c r="M21" i="17"/>
  <c r="Q161" i="17"/>
  <c r="Q101" i="17"/>
  <c r="J94" i="17"/>
  <c r="J211" i="17"/>
  <c r="J213" i="17" s="1"/>
  <c r="Q179" i="17"/>
  <c r="Q119" i="17"/>
  <c r="F61" i="16"/>
  <c r="J26" i="13"/>
  <c r="K19" i="13"/>
  <c r="F22" i="14"/>
  <c r="G22" i="14" s="1"/>
  <c r="A61" i="31" l="1"/>
  <c r="E60" i="31"/>
  <c r="G60" i="31"/>
  <c r="K60" i="31"/>
  <c r="C60" i="31"/>
  <c r="B60" i="31"/>
  <c r="H60" i="31"/>
  <c r="J60" i="31"/>
  <c r="E61" i="30"/>
  <c r="F61" i="30"/>
  <c r="K61" i="30"/>
  <c r="A62" i="30"/>
  <c r="H61" i="30"/>
  <c r="J61" i="30"/>
  <c r="J153" i="17"/>
  <c r="L49" i="18"/>
  <c r="N30" i="18"/>
  <c r="N29" i="18" s="1"/>
  <c r="M29" i="18"/>
  <c r="K94" i="17"/>
  <c r="F27" i="16"/>
  <c r="F29" i="16" s="1"/>
  <c r="A11" i="19"/>
  <c r="M10" i="19"/>
  <c r="M22" i="19"/>
  <c r="A23" i="19"/>
  <c r="A13" i="18"/>
  <c r="O12" i="18"/>
  <c r="N35" i="18"/>
  <c r="N34" i="18" s="1"/>
  <c r="M34" i="18"/>
  <c r="M49" i="18" s="1"/>
  <c r="N21" i="17"/>
  <c r="M27" i="17"/>
  <c r="L177" i="17"/>
  <c r="L117" i="17"/>
  <c r="M54" i="17"/>
  <c r="L169" i="17"/>
  <c r="L109" i="17"/>
  <c r="L68" i="17"/>
  <c r="M45" i="17"/>
  <c r="Q166" i="17"/>
  <c r="M202" i="17"/>
  <c r="M142" i="17"/>
  <c r="N82" i="17"/>
  <c r="K130" i="17"/>
  <c r="K153" i="17" s="1"/>
  <c r="L209" i="17"/>
  <c r="L211" i="17" s="1"/>
  <c r="L149" i="17"/>
  <c r="L151" i="17" s="1"/>
  <c r="M90" i="17"/>
  <c r="L92" i="17"/>
  <c r="K190" i="17"/>
  <c r="K213" i="17" s="1"/>
  <c r="N8" i="17"/>
  <c r="Q188" i="17"/>
  <c r="Q128" i="17"/>
  <c r="Q106" i="17"/>
  <c r="L172" i="17"/>
  <c r="L112" i="17"/>
  <c r="M49" i="17"/>
  <c r="A11" i="17"/>
  <c r="R10" i="17"/>
  <c r="G61" i="16"/>
  <c r="L19" i="13"/>
  <c r="L26" i="13" s="1"/>
  <c r="K26" i="13"/>
  <c r="H23" i="2"/>
  <c r="N49" i="18" l="1"/>
  <c r="K61" i="31"/>
  <c r="B61" i="31"/>
  <c r="C61" i="31"/>
  <c r="A62" i="31"/>
  <c r="H61" i="31"/>
  <c r="E61" i="31"/>
  <c r="F61" i="31"/>
  <c r="J61" i="31"/>
  <c r="K62" i="30"/>
  <c r="A63" i="30"/>
  <c r="J62" i="30"/>
  <c r="E62" i="30"/>
  <c r="G62" i="30"/>
  <c r="H62" i="30"/>
  <c r="F8" i="16"/>
  <c r="F11" i="16"/>
  <c r="M11" i="19"/>
  <c r="A12" i="19"/>
  <c r="A24" i="19"/>
  <c r="M23" i="19"/>
  <c r="O13" i="18"/>
  <c r="A14" i="18"/>
  <c r="O8" i="17"/>
  <c r="N202" i="17"/>
  <c r="N142" i="17"/>
  <c r="O82" i="17"/>
  <c r="M169" i="17"/>
  <c r="M109" i="17"/>
  <c r="M68" i="17"/>
  <c r="N45" i="17"/>
  <c r="M172" i="17"/>
  <c r="M112" i="17"/>
  <c r="N49" i="17"/>
  <c r="L94" i="17"/>
  <c r="M177" i="17"/>
  <c r="M117" i="17"/>
  <c r="N54" i="17"/>
  <c r="A12" i="17"/>
  <c r="R11" i="17"/>
  <c r="L130" i="17"/>
  <c r="L153" i="17" s="1"/>
  <c r="O21" i="17"/>
  <c r="N27" i="17"/>
  <c r="M209" i="17"/>
  <c r="M211" i="17" s="1"/>
  <c r="M149" i="17"/>
  <c r="M151" i="17" s="1"/>
  <c r="N90" i="17"/>
  <c r="M92" i="17"/>
  <c r="L190" i="17"/>
  <c r="L213" i="17" s="1"/>
  <c r="H61" i="16"/>
  <c r="D42" i="13"/>
  <c r="G62" i="31" l="1"/>
  <c r="H62" i="31"/>
  <c r="J62" i="31"/>
  <c r="A63" i="31"/>
  <c r="E62" i="31"/>
  <c r="B62" i="31"/>
  <c r="K62" i="31"/>
  <c r="C62" i="31"/>
  <c r="K63" i="30"/>
  <c r="A64" i="30"/>
  <c r="H63" i="30"/>
  <c r="J63" i="30"/>
  <c r="F63" i="30"/>
  <c r="E63" i="30"/>
  <c r="A25" i="19"/>
  <c r="M24" i="19"/>
  <c r="A13" i="19"/>
  <c r="M12" i="19"/>
  <c r="A15" i="18"/>
  <c r="O14" i="18"/>
  <c r="M94" i="17"/>
  <c r="P8" i="17"/>
  <c r="N209" i="17"/>
  <c r="N211" i="17" s="1"/>
  <c r="N149" i="17"/>
  <c r="N151" i="17" s="1"/>
  <c r="O90" i="17"/>
  <c r="O92" i="17" s="1"/>
  <c r="O27" i="17"/>
  <c r="P21" i="17"/>
  <c r="A13" i="17"/>
  <c r="R12" i="17"/>
  <c r="M130" i="17"/>
  <c r="M153" i="17" s="1"/>
  <c r="N177" i="17"/>
  <c r="N117" i="17"/>
  <c r="O54" i="17"/>
  <c r="M190" i="17"/>
  <c r="M213" i="17" s="1"/>
  <c r="N172" i="17"/>
  <c r="N112" i="17"/>
  <c r="O49" i="17"/>
  <c r="O202" i="17"/>
  <c r="O142" i="17"/>
  <c r="P82" i="17"/>
  <c r="N169" i="17"/>
  <c r="N109" i="17"/>
  <c r="N68" i="17"/>
  <c r="O45" i="17"/>
  <c r="N92" i="17"/>
  <c r="I61" i="16"/>
  <c r="I20" i="9"/>
  <c r="G19" i="9"/>
  <c r="D19" i="9"/>
  <c r="C19" i="9"/>
  <c r="B19" i="9"/>
  <c r="H10" i="9"/>
  <c r="H18" i="9" s="1"/>
  <c r="F10" i="9"/>
  <c r="F18" i="9" s="1"/>
  <c r="G9" i="9"/>
  <c r="C5" i="9"/>
  <c r="B5" i="9"/>
  <c r="I3" i="9"/>
  <c r="I10" i="9" s="1"/>
  <c r="G3" i="9"/>
  <c r="C3" i="9"/>
  <c r="B3" i="9"/>
  <c r="G2" i="9"/>
  <c r="E2" i="9"/>
  <c r="D2" i="9"/>
  <c r="D10" i="9" s="1"/>
  <c r="C2" i="9"/>
  <c r="B2" i="9"/>
  <c r="AR34" i="3"/>
  <c r="AP34" i="3"/>
  <c r="AO34" i="3"/>
  <c r="AN34" i="3"/>
  <c r="AH34" i="3"/>
  <c r="AG34" i="3"/>
  <c r="AF34" i="3"/>
  <c r="AD34" i="3"/>
  <c r="AC34" i="3"/>
  <c r="AB34" i="3"/>
  <c r="Y34" i="3"/>
  <c r="X34" i="3"/>
  <c r="P34" i="3"/>
  <c r="M34" i="3"/>
  <c r="L34" i="3"/>
  <c r="H34" i="3"/>
  <c r="AR32" i="3"/>
  <c r="AP32" i="3"/>
  <c r="AO32" i="3"/>
  <c r="AN32" i="3"/>
  <c r="AH32" i="3"/>
  <c r="AG32" i="3"/>
  <c r="AF32" i="3"/>
  <c r="AD32" i="3"/>
  <c r="AC32" i="3"/>
  <c r="AB32" i="3"/>
  <c r="Y32" i="3"/>
  <c r="X32" i="3"/>
  <c r="P32" i="3"/>
  <c r="M32" i="3"/>
  <c r="L32" i="3"/>
  <c r="H32" i="3"/>
  <c r="AR31" i="3"/>
  <c r="AR33" i="3" s="1"/>
  <c r="AR35" i="3" s="1"/>
  <c r="AP31" i="3"/>
  <c r="AP33" i="3" s="1"/>
  <c r="AO31" i="3"/>
  <c r="AO33" i="3" s="1"/>
  <c r="AO35" i="3" s="1"/>
  <c r="AN31" i="3"/>
  <c r="AN33" i="3" s="1"/>
  <c r="AH31" i="3"/>
  <c r="AG31" i="3"/>
  <c r="AG33" i="3" s="1"/>
  <c r="AF31" i="3"/>
  <c r="AF33" i="3" s="1"/>
  <c r="AF35" i="3" s="1"/>
  <c r="AD31" i="3"/>
  <c r="AC31" i="3"/>
  <c r="AB31" i="3"/>
  <c r="AB33" i="3" s="1"/>
  <c r="AB35" i="3" s="1"/>
  <c r="Y31" i="3"/>
  <c r="Y33" i="3" s="1"/>
  <c r="Y35" i="3" s="1"/>
  <c r="X31" i="3"/>
  <c r="P31" i="3"/>
  <c r="P33" i="3" s="1"/>
  <c r="M31" i="3"/>
  <c r="M33" i="3" s="1"/>
  <c r="M35" i="3" s="1"/>
  <c r="L31" i="3"/>
  <c r="L33" i="3" s="1"/>
  <c r="L35" i="3" s="1"/>
  <c r="H31" i="3"/>
  <c r="E30" i="3"/>
  <c r="D30" i="3"/>
  <c r="AT29" i="3"/>
  <c r="AT28" i="3"/>
  <c r="E28" i="3"/>
  <c r="D28" i="3"/>
  <c r="AS27" i="3"/>
  <c r="AT27" i="3" s="1"/>
  <c r="T27" i="3"/>
  <c r="Q27" i="3"/>
  <c r="R27" i="3" s="1"/>
  <c r="D27" i="3"/>
  <c r="AS26" i="3"/>
  <c r="AT26" i="3" s="1"/>
  <c r="T26" i="3"/>
  <c r="D26" i="3" s="1"/>
  <c r="Q26" i="3"/>
  <c r="R26" i="3" s="1"/>
  <c r="AS25" i="3"/>
  <c r="AT25" i="3" s="1"/>
  <c r="T25" i="3"/>
  <c r="D25" i="3" s="1"/>
  <c r="Q25" i="3"/>
  <c r="U25" i="3" s="1"/>
  <c r="AS24" i="3"/>
  <c r="AT24" i="3" s="1"/>
  <c r="T24" i="3"/>
  <c r="D24" i="3" s="1"/>
  <c r="Q24" i="3"/>
  <c r="R24" i="3" s="1"/>
  <c r="AS23" i="3"/>
  <c r="AT23" i="3" s="1"/>
  <c r="T23" i="3"/>
  <c r="D23" i="3" s="1"/>
  <c r="Q23" i="3"/>
  <c r="U23" i="3" s="1"/>
  <c r="AS22" i="3"/>
  <c r="AT22" i="3" s="1"/>
  <c r="T22" i="3"/>
  <c r="D22" i="3" s="1"/>
  <c r="Q22" i="3"/>
  <c r="R22" i="3" s="1"/>
  <c r="AS21" i="3"/>
  <c r="AT21" i="3" s="1"/>
  <c r="T21" i="3"/>
  <c r="D21" i="3" s="1"/>
  <c r="Q21" i="3"/>
  <c r="U21" i="3" s="1"/>
  <c r="N21" i="3"/>
  <c r="L45" i="16" s="1"/>
  <c r="AS20" i="3"/>
  <c r="AT20" i="3" s="1"/>
  <c r="T20" i="3"/>
  <c r="Q20" i="3"/>
  <c r="U20" i="3" s="1"/>
  <c r="N20" i="3"/>
  <c r="AS19" i="3"/>
  <c r="AT19" i="3" s="1"/>
  <c r="T19" i="3"/>
  <c r="Q19" i="3"/>
  <c r="R19" i="3" s="1"/>
  <c r="J46" i="16" s="1"/>
  <c r="J48" i="16" s="1"/>
  <c r="N19" i="3"/>
  <c r="AS18" i="3"/>
  <c r="AT18" i="3" s="1"/>
  <c r="T18" i="3"/>
  <c r="D18" i="3" s="1"/>
  <c r="Q18" i="3"/>
  <c r="N18" i="3"/>
  <c r="AS17" i="3"/>
  <c r="AT17" i="3" s="1"/>
  <c r="T17" i="3"/>
  <c r="D17" i="3" s="1"/>
  <c r="Q17" i="3"/>
  <c r="U17" i="3" s="1"/>
  <c r="N17" i="3"/>
  <c r="AS16" i="3"/>
  <c r="AT16" i="3" s="1"/>
  <c r="T16" i="3"/>
  <c r="Q16" i="3"/>
  <c r="U16" i="3" s="1"/>
  <c r="N16" i="3"/>
  <c r="J16" i="3"/>
  <c r="AS15" i="3"/>
  <c r="AT15" i="3" s="1"/>
  <c r="T15" i="3"/>
  <c r="Q15" i="3"/>
  <c r="N15" i="3"/>
  <c r="I15" i="3"/>
  <c r="J15" i="3" s="1"/>
  <c r="AS14" i="3"/>
  <c r="AT14" i="3" s="1"/>
  <c r="T14" i="3"/>
  <c r="D14" i="3" s="1"/>
  <c r="Q14" i="3"/>
  <c r="R14" i="3" s="1"/>
  <c r="N14" i="3"/>
  <c r="I14" i="3"/>
  <c r="J14" i="3" s="1"/>
  <c r="AS13" i="3"/>
  <c r="AT13" i="3" s="1"/>
  <c r="AK13" i="3"/>
  <c r="AJ13" i="3"/>
  <c r="Z13" i="3"/>
  <c r="T13" i="3"/>
  <c r="Q13" i="3"/>
  <c r="R13" i="3" s="1"/>
  <c r="N13" i="3"/>
  <c r="I13" i="3"/>
  <c r="J13" i="3" s="1"/>
  <c r="AS12" i="3"/>
  <c r="AT12" i="3" s="1"/>
  <c r="AK12" i="3"/>
  <c r="AJ12" i="3"/>
  <c r="Z12" i="3"/>
  <c r="T12" i="3"/>
  <c r="Q12" i="3"/>
  <c r="R12" i="3" s="1"/>
  <c r="N12" i="3"/>
  <c r="I12" i="3"/>
  <c r="J12" i="3" s="1"/>
  <c r="AS11" i="3"/>
  <c r="AT11" i="3" s="1"/>
  <c r="AK11" i="3"/>
  <c r="AJ11" i="3"/>
  <c r="Z11" i="3"/>
  <c r="T11" i="3"/>
  <c r="Q11" i="3"/>
  <c r="N11" i="3"/>
  <c r="I11" i="3"/>
  <c r="J11" i="3" s="1"/>
  <c r="AS10" i="3"/>
  <c r="AK10" i="3"/>
  <c r="AJ10" i="3"/>
  <c r="AJ34" i="3" s="1"/>
  <c r="Z10" i="3"/>
  <c r="Z34" i="3" s="1"/>
  <c r="T10" i="3"/>
  <c r="T34" i="3" s="1"/>
  <c r="Q10" i="3"/>
  <c r="Q34" i="3" s="1"/>
  <c r="N10" i="3"/>
  <c r="N34" i="3" s="1"/>
  <c r="I10" i="3"/>
  <c r="AS9" i="3"/>
  <c r="AS32" i="3" s="1"/>
  <c r="AK9" i="3"/>
  <c r="AK32" i="3" s="1"/>
  <c r="AJ9" i="3"/>
  <c r="AJ32" i="3" s="1"/>
  <c r="Z9" i="3"/>
  <c r="Z32" i="3" s="1"/>
  <c r="T9" i="3"/>
  <c r="T32" i="3" s="1"/>
  <c r="Q9" i="3"/>
  <c r="N9" i="3"/>
  <c r="N32" i="3" s="1"/>
  <c r="J9" i="3"/>
  <c r="I9" i="3"/>
  <c r="I32" i="3" s="1"/>
  <c r="C23" i="2"/>
  <c r="D2" i="2" s="1"/>
  <c r="E2" i="2" s="1"/>
  <c r="K11" i="2"/>
  <c r="B5" i="2"/>
  <c r="A5" i="2"/>
  <c r="A6" i="2" s="1"/>
  <c r="A7" i="2" s="1"/>
  <c r="A8" i="2" s="1"/>
  <c r="A9" i="2" s="1"/>
  <c r="A10" i="2" s="1"/>
  <c r="A11" i="2" s="1"/>
  <c r="A12" i="2" s="1"/>
  <c r="A13" i="2" s="1"/>
  <c r="A14" i="2" s="1"/>
  <c r="A15" i="2" s="1"/>
  <c r="A16" i="2" s="1"/>
  <c r="A17" i="2" s="1"/>
  <c r="A18" i="2" s="1"/>
  <c r="A19" i="2" s="1"/>
  <c r="A20" i="2" s="1"/>
  <c r="A21" i="2" s="1"/>
  <c r="A22" i="2" s="1"/>
  <c r="F2" i="2"/>
  <c r="F3" i="2" s="1"/>
  <c r="F4" i="2" s="1"/>
  <c r="H23" i="7"/>
  <c r="C23" i="7"/>
  <c r="D23" i="7" s="1"/>
  <c r="F23" i="7" s="1"/>
  <c r="J23" i="7" s="1"/>
  <c r="H22" i="7"/>
  <c r="C22" i="7"/>
  <c r="D22" i="7" s="1"/>
  <c r="H21" i="7"/>
  <c r="C21" i="7"/>
  <c r="D21" i="7" s="1"/>
  <c r="H20" i="7"/>
  <c r="C20" i="7"/>
  <c r="D20" i="7" s="1"/>
  <c r="H16" i="7"/>
  <c r="C16" i="7"/>
  <c r="H15" i="7"/>
  <c r="C15" i="7"/>
  <c r="H14" i="7"/>
  <c r="C14" i="7"/>
  <c r="H13" i="7"/>
  <c r="C13" i="7"/>
  <c r="F7" i="7"/>
  <c r="D7" i="7"/>
  <c r="J7" i="7" s="1"/>
  <c r="F6" i="7"/>
  <c r="D6" i="7"/>
  <c r="J6" i="7" s="1"/>
  <c r="F5" i="7"/>
  <c r="D5" i="7"/>
  <c r="J5" i="7" s="1"/>
  <c r="F4" i="7"/>
  <c r="D4" i="7"/>
  <c r="H4" i="7" s="1"/>
  <c r="M33" i="10"/>
  <c r="H24" i="10"/>
  <c r="H23" i="10"/>
  <c r="H22" i="10"/>
  <c r="H21" i="10"/>
  <c r="H16" i="10"/>
  <c r="C16" i="10"/>
  <c r="H15" i="10"/>
  <c r="C15" i="10"/>
  <c r="H14" i="10"/>
  <c r="C14" i="10"/>
  <c r="H13" i="10"/>
  <c r="C13" i="10"/>
  <c r="F7" i="10"/>
  <c r="D7" i="10"/>
  <c r="J7" i="10" s="1"/>
  <c r="F6" i="10"/>
  <c r="D6" i="10"/>
  <c r="J6" i="10" s="1"/>
  <c r="F5" i="10"/>
  <c r="D5" i="10"/>
  <c r="D22" i="10" s="1"/>
  <c r="F4" i="10"/>
  <c r="D4" i="10"/>
  <c r="J4" i="10" s="1"/>
  <c r="E15" i="8"/>
  <c r="D15" i="8"/>
  <c r="C15" i="8"/>
  <c r="B15" i="8"/>
  <c r="C15" i="12"/>
  <c r="B45" i="13"/>
  <c r="N44" i="13"/>
  <c r="L44" i="13"/>
  <c r="H44" i="13"/>
  <c r="F44" i="13"/>
  <c r="O41" i="13"/>
  <c r="M41" i="13"/>
  <c r="K41" i="13"/>
  <c r="I41" i="13"/>
  <c r="G41" i="13"/>
  <c r="O40" i="13"/>
  <c r="M40" i="13"/>
  <c r="K40" i="13"/>
  <c r="I40" i="13"/>
  <c r="G40" i="13"/>
  <c r="G27" i="13"/>
  <c r="E27" i="13"/>
  <c r="C27" i="13"/>
  <c r="D5" i="13"/>
  <c r="R2" i="13"/>
  <c r="M2" i="13"/>
  <c r="E7" i="10" l="1"/>
  <c r="G7" i="10"/>
  <c r="E20" i="3"/>
  <c r="C63" i="31"/>
  <c r="A64" i="31"/>
  <c r="E63" i="31"/>
  <c r="J63" i="31"/>
  <c r="K63" i="31"/>
  <c r="F63" i="31"/>
  <c r="H63" i="31"/>
  <c r="B63" i="31"/>
  <c r="J64" i="30"/>
  <c r="K64" i="30"/>
  <c r="G64" i="30"/>
  <c r="E64" i="30"/>
  <c r="A65" i="30"/>
  <c r="H64" i="30"/>
  <c r="D13" i="3"/>
  <c r="H17" i="9"/>
  <c r="U22" i="3"/>
  <c r="R23" i="3"/>
  <c r="H24" i="7"/>
  <c r="C7" i="23" s="1"/>
  <c r="U19" i="3"/>
  <c r="V19" i="3" s="1"/>
  <c r="G5" i="10"/>
  <c r="D24" i="10"/>
  <c r="F24" i="10" s="1"/>
  <c r="K24" i="10" s="1"/>
  <c r="D12" i="3"/>
  <c r="AT9" i="3"/>
  <c r="AT32" i="3" s="1"/>
  <c r="D3" i="2"/>
  <c r="E3" i="2" s="1"/>
  <c r="G3" i="2" s="1"/>
  <c r="G18" i="16"/>
  <c r="H18" i="16" s="1"/>
  <c r="I18" i="16" s="1"/>
  <c r="J18" i="16" s="1"/>
  <c r="K18" i="16" s="1"/>
  <c r="L18" i="16" s="1"/>
  <c r="G35" i="16"/>
  <c r="H25" i="10"/>
  <c r="G4" i="7"/>
  <c r="AL11" i="3"/>
  <c r="AL12" i="3"/>
  <c r="R21" i="3"/>
  <c r="L46" i="16" s="1"/>
  <c r="L48" i="16" s="1"/>
  <c r="U26" i="3"/>
  <c r="E26" i="3" s="1"/>
  <c r="F26" i="3" s="1"/>
  <c r="AN35" i="3"/>
  <c r="N190" i="17"/>
  <c r="N213" i="17" s="1"/>
  <c r="AL13" i="3"/>
  <c r="R17" i="3"/>
  <c r="H46" i="16" s="1"/>
  <c r="H48" i="16" s="1"/>
  <c r="R25" i="3"/>
  <c r="F28" i="3"/>
  <c r="F30" i="3"/>
  <c r="AG35" i="3"/>
  <c r="AP35" i="3"/>
  <c r="F22" i="9"/>
  <c r="F8" i="7"/>
  <c r="G5" i="7"/>
  <c r="E16" i="3"/>
  <c r="U24" i="3"/>
  <c r="E24" i="3" s="1"/>
  <c r="F24" i="3" s="1"/>
  <c r="G19" i="16"/>
  <c r="K19" i="16"/>
  <c r="J19" i="16"/>
  <c r="I19" i="16"/>
  <c r="L19" i="16"/>
  <c r="H19" i="16"/>
  <c r="G36" i="16"/>
  <c r="G4" i="10"/>
  <c r="E6" i="10"/>
  <c r="I7" i="10"/>
  <c r="G6" i="7"/>
  <c r="D24" i="7"/>
  <c r="U15" i="3"/>
  <c r="E15" i="3" s="1"/>
  <c r="V22" i="3"/>
  <c r="U27" i="3"/>
  <c r="E27" i="3" s="1"/>
  <c r="F27" i="3" s="1"/>
  <c r="H33" i="3"/>
  <c r="H35" i="3" s="1"/>
  <c r="X33" i="3"/>
  <c r="X35" i="3" s="1"/>
  <c r="AD33" i="3"/>
  <c r="AD35" i="3" s="1"/>
  <c r="AJ31" i="3"/>
  <c r="AJ33" i="3" s="1"/>
  <c r="AJ35" i="3" s="1"/>
  <c r="C10" i="9"/>
  <c r="C16" i="9" s="1"/>
  <c r="C21" i="9" s="1"/>
  <c r="F37" i="16"/>
  <c r="F38" i="16" s="1"/>
  <c r="I37" i="16"/>
  <c r="H37" i="16"/>
  <c r="G37" i="16"/>
  <c r="E37" i="16"/>
  <c r="E38" i="16" s="1"/>
  <c r="E40" i="16" s="1"/>
  <c r="E51" i="16" s="1"/>
  <c r="I4" i="10"/>
  <c r="E4" i="10"/>
  <c r="I5" i="10"/>
  <c r="G6" i="10"/>
  <c r="D10" i="3"/>
  <c r="D34" i="3" s="1"/>
  <c r="R10" i="3"/>
  <c r="R34" i="3" s="1"/>
  <c r="AL10" i="3"/>
  <c r="AL34" i="3" s="1"/>
  <c r="G10" i="9"/>
  <c r="G18" i="9" s="1"/>
  <c r="F15" i="9"/>
  <c r="H22" i="9"/>
  <c r="F8" i="10"/>
  <c r="E5" i="10"/>
  <c r="I6" i="10"/>
  <c r="G7" i="7"/>
  <c r="D9" i="3"/>
  <c r="D32" i="3" s="1"/>
  <c r="U14" i="3"/>
  <c r="V14" i="3" s="1"/>
  <c r="P35" i="3"/>
  <c r="B10" i="9"/>
  <c r="B15" i="9" s="1"/>
  <c r="B20" i="9" s="1"/>
  <c r="H15" i="9"/>
  <c r="H20" i="9" s="1"/>
  <c r="H19" i="9"/>
  <c r="F5" i="2"/>
  <c r="L14" i="17"/>
  <c r="M14" i="17" s="1"/>
  <c r="N14" i="17" s="1"/>
  <c r="O14" i="17" s="1"/>
  <c r="P14" i="17" s="1"/>
  <c r="Q14" i="17" s="1"/>
  <c r="L10" i="17"/>
  <c r="M10" i="17" s="1"/>
  <c r="N10" i="17" s="1"/>
  <c r="O10" i="17" s="1"/>
  <c r="P10" i="17" s="1"/>
  <c r="Q10" i="17" s="1"/>
  <c r="H4" i="10"/>
  <c r="H5" i="10"/>
  <c r="H6" i="10"/>
  <c r="H7" i="10"/>
  <c r="D8" i="10"/>
  <c r="D21" i="10"/>
  <c r="D23" i="10"/>
  <c r="AS31" i="3"/>
  <c r="AS33" i="3" s="1"/>
  <c r="D11" i="3"/>
  <c r="I34" i="3"/>
  <c r="J10" i="3"/>
  <c r="J34" i="3" s="1"/>
  <c r="I31" i="3"/>
  <c r="I33" i="3" s="1"/>
  <c r="U10" i="3"/>
  <c r="D18" i="9"/>
  <c r="D16" i="9"/>
  <c r="D21" i="9" s="1"/>
  <c r="D15" i="9"/>
  <c r="D20" i="9" s="1"/>
  <c r="J4" i="7"/>
  <c r="J8" i="7" s="1"/>
  <c r="I4" i="7"/>
  <c r="E4" i="7"/>
  <c r="D8" i="7"/>
  <c r="I23" i="7"/>
  <c r="L23" i="7"/>
  <c r="K23" i="7"/>
  <c r="G23" i="7"/>
  <c r="V15" i="3"/>
  <c r="D15" i="3"/>
  <c r="F15" i="3" s="1"/>
  <c r="J5" i="10"/>
  <c r="J8" i="10" s="1"/>
  <c r="B6" i="2"/>
  <c r="D4" i="2"/>
  <c r="E4" i="2" s="1"/>
  <c r="G4" i="2" s="1"/>
  <c r="AK34" i="3"/>
  <c r="H5" i="7"/>
  <c r="H6" i="7"/>
  <c r="H7" i="7"/>
  <c r="Q31" i="3"/>
  <c r="R9" i="3"/>
  <c r="Q32" i="3"/>
  <c r="AS34" i="3"/>
  <c r="AT10" i="3"/>
  <c r="AT34" i="3" s="1"/>
  <c r="V20" i="3"/>
  <c r="D20" i="3"/>
  <c r="F20" i="3" s="1"/>
  <c r="E21" i="3"/>
  <c r="F21" i="3" s="1"/>
  <c r="V21" i="3"/>
  <c r="N31" i="3"/>
  <c r="N33" i="3" s="1"/>
  <c r="N35" i="3" s="1"/>
  <c r="I21" i="9"/>
  <c r="I18" i="9"/>
  <c r="I16" i="9"/>
  <c r="I19" i="9"/>
  <c r="J19" i="9" s="1"/>
  <c r="I17" i="9"/>
  <c r="I15" i="9"/>
  <c r="I22" i="9"/>
  <c r="E5" i="7"/>
  <c r="I5" i="7"/>
  <c r="E6" i="7"/>
  <c r="I6" i="7"/>
  <c r="E7" i="7"/>
  <c r="I7" i="7"/>
  <c r="U13" i="3"/>
  <c r="V16" i="3"/>
  <c r="D16" i="3"/>
  <c r="E17" i="3"/>
  <c r="F17" i="3" s="1"/>
  <c r="V17" i="3"/>
  <c r="R18" i="3"/>
  <c r="I46" i="16" s="1"/>
  <c r="I48" i="16" s="1"/>
  <c r="U18" i="3"/>
  <c r="V23" i="3"/>
  <c r="E23" i="3"/>
  <c r="F23" i="3" s="1"/>
  <c r="E10" i="9"/>
  <c r="J11" i="9" s="1"/>
  <c r="G16" i="9"/>
  <c r="G21" i="9" s="1"/>
  <c r="G2" i="2"/>
  <c r="H2" i="2" s="1"/>
  <c r="J32" i="3"/>
  <c r="AL9" i="3"/>
  <c r="U11" i="3"/>
  <c r="E11" i="3" s="1"/>
  <c r="R11" i="3"/>
  <c r="U12" i="3"/>
  <c r="E12" i="3" s="1"/>
  <c r="F12" i="3" s="1"/>
  <c r="E19" i="3"/>
  <c r="E22" i="3"/>
  <c r="F22" i="3" s="1"/>
  <c r="V25" i="3"/>
  <c r="E25" i="3"/>
  <c r="F25" i="3" s="1"/>
  <c r="V27" i="3"/>
  <c r="T31" i="3"/>
  <c r="T33" i="3" s="1"/>
  <c r="T35" i="3" s="1"/>
  <c r="AC33" i="3"/>
  <c r="AC35" i="3" s="1"/>
  <c r="AH33" i="3"/>
  <c r="AH35" i="3" s="1"/>
  <c r="U9" i="3"/>
  <c r="V9" i="3" s="1"/>
  <c r="R15" i="3"/>
  <c r="F46" i="16" s="1"/>
  <c r="F48" i="16" s="1"/>
  <c r="R16" i="3"/>
  <c r="G46" i="16" s="1"/>
  <c r="G48" i="16" s="1"/>
  <c r="D19" i="3"/>
  <c r="R20" i="3"/>
  <c r="K46" i="16" s="1"/>
  <c r="K48" i="16" s="1"/>
  <c r="C15" i="9"/>
  <c r="C17" i="9" s="1"/>
  <c r="F16" i="9"/>
  <c r="F17" i="9"/>
  <c r="Z31" i="3"/>
  <c r="Z33" i="3" s="1"/>
  <c r="Z35" i="3" s="1"/>
  <c r="AK31" i="3"/>
  <c r="AK33" i="3" s="1"/>
  <c r="H16" i="9"/>
  <c r="L9" i="17"/>
  <c r="M3" i="21"/>
  <c r="M4" i="21"/>
  <c r="M13" i="19"/>
  <c r="A14" i="19"/>
  <c r="A26" i="19"/>
  <c r="M25" i="19"/>
  <c r="A16" i="18"/>
  <c r="O15" i="18"/>
  <c r="O169" i="17"/>
  <c r="O109" i="17"/>
  <c r="O68" i="17"/>
  <c r="O94" i="17" s="1"/>
  <c r="P45" i="17"/>
  <c r="O172" i="17"/>
  <c r="O112" i="17"/>
  <c r="P49" i="17"/>
  <c r="P27" i="17"/>
  <c r="Q21" i="17"/>
  <c r="Q27" i="17" s="1"/>
  <c r="N94" i="17"/>
  <c r="P202" i="17"/>
  <c r="P142" i="17"/>
  <c r="Q82" i="17"/>
  <c r="O177" i="17"/>
  <c r="O117" i="17"/>
  <c r="P54" i="17"/>
  <c r="Q8" i="17"/>
  <c r="N130" i="17"/>
  <c r="N153" i="17" s="1"/>
  <c r="O209" i="17"/>
  <c r="O211" i="17" s="1"/>
  <c r="O149" i="17"/>
  <c r="O151" i="17" s="1"/>
  <c r="P90" i="17"/>
  <c r="A14" i="17"/>
  <c r="R13" i="17"/>
  <c r="J61" i="16"/>
  <c r="K44" i="13"/>
  <c r="G44" i="13"/>
  <c r="M44" i="13"/>
  <c r="I44" i="13"/>
  <c r="O44" i="13"/>
  <c r="J24" i="10" l="1"/>
  <c r="AK35" i="3"/>
  <c r="F16" i="3"/>
  <c r="J64" i="31"/>
  <c r="K64" i="31"/>
  <c r="B64" i="31"/>
  <c r="A65" i="31"/>
  <c r="C64" i="31"/>
  <c r="E64" i="31"/>
  <c r="G64" i="31"/>
  <c r="H64" i="31"/>
  <c r="H65" i="30"/>
  <c r="K65" i="30"/>
  <c r="E65" i="30"/>
  <c r="F65" i="30"/>
  <c r="J65" i="30"/>
  <c r="A66" i="30"/>
  <c r="I24" i="10"/>
  <c r="G24" i="10"/>
  <c r="L24" i="10"/>
  <c r="V26" i="3"/>
  <c r="E14" i="3"/>
  <c r="F14" i="3" s="1"/>
  <c r="B17" i="9"/>
  <c r="B16" i="9"/>
  <c r="B21" i="9" s="1"/>
  <c r="G15" i="9"/>
  <c r="G20" i="9" s="1"/>
  <c r="J20" i="9" s="1"/>
  <c r="H3" i="2"/>
  <c r="H4" i="2" s="1"/>
  <c r="G22" i="9"/>
  <c r="J22" i="9" s="1"/>
  <c r="B18" i="9"/>
  <c r="J31" i="3"/>
  <c r="K7" i="10"/>
  <c r="G8" i="7"/>
  <c r="G28" i="16"/>
  <c r="H28" i="16" s="1"/>
  <c r="I28" i="16" s="1"/>
  <c r="J28" i="16" s="1"/>
  <c r="K28" i="16" s="1"/>
  <c r="L28" i="16" s="1"/>
  <c r="E63" i="16"/>
  <c r="E65" i="16" s="1"/>
  <c r="E49" i="16"/>
  <c r="K6" i="7"/>
  <c r="K7" i="7"/>
  <c r="K5" i="7"/>
  <c r="I35" i="3"/>
  <c r="V24" i="3"/>
  <c r="M24" i="10"/>
  <c r="C18" i="9"/>
  <c r="K5" i="10"/>
  <c r="G27" i="16"/>
  <c r="H27" i="16" s="1"/>
  <c r="I27" i="16" s="1"/>
  <c r="J27" i="16" s="1"/>
  <c r="K27" i="16" s="1"/>
  <c r="L27" i="16" s="1"/>
  <c r="F19" i="3"/>
  <c r="M23" i="7"/>
  <c r="AS35" i="3"/>
  <c r="I8" i="10"/>
  <c r="G8" i="10"/>
  <c r="H8" i="7"/>
  <c r="K6" i="10"/>
  <c r="E8" i="10"/>
  <c r="H4" i="21"/>
  <c r="I4" i="21"/>
  <c r="I3" i="21"/>
  <c r="H3" i="21"/>
  <c r="V32" i="3"/>
  <c r="U32" i="3"/>
  <c r="U31" i="3"/>
  <c r="E9" i="3"/>
  <c r="J33" i="3"/>
  <c r="J35" i="3" s="1"/>
  <c r="E18" i="9"/>
  <c r="E17" i="9"/>
  <c r="J17" i="9" s="1"/>
  <c r="E16" i="9"/>
  <c r="E13" i="3"/>
  <c r="F13" i="3" s="1"/>
  <c r="V13" i="3"/>
  <c r="R31" i="3"/>
  <c r="R32" i="3"/>
  <c r="B7" i="2"/>
  <c r="D6" i="2" s="1"/>
  <c r="E6" i="2" s="1"/>
  <c r="E8" i="7"/>
  <c r="E20" i="7"/>
  <c r="E23" i="10"/>
  <c r="F23" i="10" s="1"/>
  <c r="E21" i="7"/>
  <c r="F21" i="7" s="1"/>
  <c r="L31" i="10"/>
  <c r="M31" i="10" s="1"/>
  <c r="E22" i="7"/>
  <c r="F22" i="7" s="1"/>
  <c r="L30" i="10"/>
  <c r="M30" i="10" s="1"/>
  <c r="E22" i="10"/>
  <c r="F22" i="10" s="1"/>
  <c r="L32" i="10"/>
  <c r="M32" i="10" s="1"/>
  <c r="E21" i="10"/>
  <c r="F21" i="10" s="1"/>
  <c r="E15" i="9"/>
  <c r="E21" i="9" s="1"/>
  <c r="Q33" i="3"/>
  <c r="Q35" i="3" s="1"/>
  <c r="I8" i="7"/>
  <c r="V11" i="3"/>
  <c r="V12" i="3"/>
  <c r="AL31" i="3"/>
  <c r="AL32" i="3"/>
  <c r="E18" i="3"/>
  <c r="F18" i="3" s="1"/>
  <c r="V18" i="3"/>
  <c r="AT31" i="3"/>
  <c r="AT33" i="3" s="1"/>
  <c r="AT35" i="3" s="1"/>
  <c r="D5" i="2"/>
  <c r="E5" i="2" s="1"/>
  <c r="G5" i="2" s="1"/>
  <c r="K4" i="7"/>
  <c r="F11" i="3"/>
  <c r="D25" i="10"/>
  <c r="V10" i="3"/>
  <c r="V34" i="3" s="1"/>
  <c r="E10" i="3"/>
  <c r="U34" i="3"/>
  <c r="H8" i="10"/>
  <c r="K4" i="10"/>
  <c r="D31" i="3"/>
  <c r="D33" i="3" s="1"/>
  <c r="D35" i="3" s="1"/>
  <c r="F6" i="2"/>
  <c r="M9" i="17"/>
  <c r="L16" i="17"/>
  <c r="L29" i="17" s="1"/>
  <c r="A27" i="19"/>
  <c r="M26" i="19"/>
  <c r="O16" i="18"/>
  <c r="A17" i="18"/>
  <c r="P209" i="17"/>
  <c r="P211" i="17" s="1"/>
  <c r="Q90" i="17"/>
  <c r="Q92" i="17" s="1"/>
  <c r="P149" i="17"/>
  <c r="P151" i="17"/>
  <c r="P169" i="17"/>
  <c r="P68" i="17"/>
  <c r="Q45" i="17"/>
  <c r="P109" i="17"/>
  <c r="A15" i="17"/>
  <c r="R14" i="17"/>
  <c r="P172" i="17"/>
  <c r="P112" i="17"/>
  <c r="Q49" i="17"/>
  <c r="P92" i="17"/>
  <c r="O130" i="17"/>
  <c r="O153" i="17" s="1"/>
  <c r="P177" i="17"/>
  <c r="Q54" i="17"/>
  <c r="P117" i="17"/>
  <c r="Q202" i="17"/>
  <c r="Q142" i="17"/>
  <c r="O190" i="17"/>
  <c r="O213" i="17" s="1"/>
  <c r="L61" i="16"/>
  <c r="K61" i="16"/>
  <c r="G48" i="13"/>
  <c r="P44" i="13"/>
  <c r="B48" i="13"/>
  <c r="I37" i="13"/>
  <c r="M37" i="13"/>
  <c r="G37" i="13"/>
  <c r="J16" i="9" l="1"/>
  <c r="E65" i="31"/>
  <c r="F65" i="31"/>
  <c r="H65" i="31"/>
  <c r="B65" i="31"/>
  <c r="K65" i="31"/>
  <c r="C65" i="31"/>
  <c r="A66" i="31"/>
  <c r="J65" i="31"/>
  <c r="G66" i="30"/>
  <c r="J66" i="30"/>
  <c r="E66" i="30"/>
  <c r="A67" i="30"/>
  <c r="K66" i="30"/>
  <c r="H66" i="30"/>
  <c r="AL33" i="3"/>
  <c r="AL35" i="3" s="1"/>
  <c r="H5" i="2"/>
  <c r="K8" i="10"/>
  <c r="J21" i="9"/>
  <c r="J18" i="9"/>
  <c r="M35" i="10"/>
  <c r="K8" i="7"/>
  <c r="R33" i="3"/>
  <c r="R35" i="3" s="1"/>
  <c r="U33" i="3"/>
  <c r="U35" i="3" s="1"/>
  <c r="I23" i="10"/>
  <c r="L23" i="10"/>
  <c r="G23" i="10"/>
  <c r="K23" i="10"/>
  <c r="J23" i="10"/>
  <c r="F10" i="3"/>
  <c r="F34" i="3" s="1"/>
  <c r="E34" i="3"/>
  <c r="K22" i="7"/>
  <c r="G22" i="7"/>
  <c r="J22" i="7"/>
  <c r="I22" i="7"/>
  <c r="L22" i="7"/>
  <c r="E24" i="7"/>
  <c r="F20" i="7"/>
  <c r="E32" i="3"/>
  <c r="E31" i="3"/>
  <c r="F9" i="3"/>
  <c r="B8" i="2"/>
  <c r="D7" i="2" s="1"/>
  <c r="E7" i="2" s="1"/>
  <c r="G6" i="2"/>
  <c r="F7" i="2"/>
  <c r="F25" i="10"/>
  <c r="J21" i="10"/>
  <c r="I21" i="10"/>
  <c r="K21" i="10"/>
  <c r="L21" i="10"/>
  <c r="G21" i="10"/>
  <c r="E25" i="10"/>
  <c r="V31" i="3"/>
  <c r="V33" i="3" s="1"/>
  <c r="V35" i="3" s="1"/>
  <c r="J15" i="9"/>
  <c r="L22" i="10"/>
  <c r="K22" i="10"/>
  <c r="G22" i="10"/>
  <c r="J22" i="10"/>
  <c r="I22" i="10"/>
  <c r="J21" i="7"/>
  <c r="I21" i="7"/>
  <c r="L21" i="7"/>
  <c r="G21" i="7"/>
  <c r="G31" i="7" s="1"/>
  <c r="K21" i="7"/>
  <c r="N9" i="17"/>
  <c r="M16" i="17"/>
  <c r="M29" i="17" s="1"/>
  <c r="G6" i="16"/>
  <c r="G9" i="16" s="1"/>
  <c r="G7" i="16"/>
  <c r="A28" i="19"/>
  <c r="M27" i="19"/>
  <c r="A18" i="18"/>
  <c r="O17" i="18"/>
  <c r="P190" i="17"/>
  <c r="P213" i="17" s="1"/>
  <c r="P130" i="17"/>
  <c r="P153" i="17" s="1"/>
  <c r="Q109" i="17"/>
  <c r="Q169" i="17"/>
  <c r="Q68" i="17"/>
  <c r="Q94" i="17" s="1"/>
  <c r="A16" i="17"/>
  <c r="R15" i="17"/>
  <c r="Q177" i="17"/>
  <c r="Q117" i="17"/>
  <c r="Q172" i="17"/>
  <c r="Q112" i="17"/>
  <c r="P94" i="17"/>
  <c r="Q209" i="17"/>
  <c r="Q211" i="17" s="1"/>
  <c r="Q149" i="17"/>
  <c r="Q151" i="17" s="1"/>
  <c r="H6" i="2" l="1"/>
  <c r="B66" i="31"/>
  <c r="C66" i="31"/>
  <c r="A67" i="31"/>
  <c r="H66" i="31"/>
  <c r="E66" i="31"/>
  <c r="G66" i="31"/>
  <c r="J66" i="31"/>
  <c r="K66" i="31"/>
  <c r="E67" i="30"/>
  <c r="H67" i="30"/>
  <c r="J67" i="30"/>
  <c r="K67" i="30"/>
  <c r="F67" i="30"/>
  <c r="A68" i="30"/>
  <c r="I25" i="10"/>
  <c r="M22" i="10"/>
  <c r="M22" i="7"/>
  <c r="J25" i="10"/>
  <c r="E33" i="3"/>
  <c r="E35" i="3" s="1"/>
  <c r="M23" i="10"/>
  <c r="M21" i="7"/>
  <c r="L25" i="10"/>
  <c r="F31" i="3"/>
  <c r="F32" i="3"/>
  <c r="G7" i="2"/>
  <c r="F8" i="2"/>
  <c r="G25" i="10"/>
  <c r="M21" i="10"/>
  <c r="K25" i="10"/>
  <c r="B9" i="2"/>
  <c r="D8" i="2" s="1"/>
  <c r="E8" i="2" s="1"/>
  <c r="I20" i="7"/>
  <c r="I24" i="7" s="1"/>
  <c r="F24" i="7"/>
  <c r="L20" i="7"/>
  <c r="L24" i="7" s="1"/>
  <c r="K20" i="7"/>
  <c r="K24" i="7" s="1"/>
  <c r="G20" i="7"/>
  <c r="G24" i="7" s="1"/>
  <c r="J20" i="7"/>
  <c r="J24" i="7" s="1"/>
  <c r="O9" i="17"/>
  <c r="N16" i="17"/>
  <c r="N29" i="17" s="1"/>
  <c r="H7" i="16"/>
  <c r="H10" i="16" s="1"/>
  <c r="M28" i="19"/>
  <c r="A29" i="19"/>
  <c r="A19" i="18"/>
  <c r="O18" i="18"/>
  <c r="A17" i="17"/>
  <c r="R16" i="17"/>
  <c r="Q130" i="17"/>
  <c r="Q153" i="17" s="1"/>
  <c r="Q190" i="17"/>
  <c r="Q213" i="17" s="1"/>
  <c r="M39" i="10" l="1"/>
  <c r="H7" i="2"/>
  <c r="H67" i="31"/>
  <c r="J67" i="31"/>
  <c r="K67" i="31"/>
  <c r="F67" i="31"/>
  <c r="B67" i="31"/>
  <c r="C67" i="31"/>
  <c r="E67" i="31"/>
  <c r="A68" i="31"/>
  <c r="A69" i="30"/>
  <c r="G68" i="30"/>
  <c r="K68" i="30"/>
  <c r="E68" i="30"/>
  <c r="H68" i="30"/>
  <c r="J68" i="30"/>
  <c r="C3" i="23"/>
  <c r="C9" i="23"/>
  <c r="F33" i="3"/>
  <c r="F35" i="3" s="1"/>
  <c r="C4" i="23"/>
  <c r="M25" i="10"/>
  <c r="N25" i="10" s="1"/>
  <c r="F9" i="2"/>
  <c r="G8" i="2"/>
  <c r="H8" i="2" s="1"/>
  <c r="M20" i="7"/>
  <c r="M24" i="7" s="1"/>
  <c r="N24" i="7" s="1"/>
  <c r="B10" i="2"/>
  <c r="D9" i="2" s="1"/>
  <c r="E9" i="2" s="1"/>
  <c r="P9" i="17"/>
  <c r="O16" i="17"/>
  <c r="O29" i="17" s="1"/>
  <c r="I7" i="16"/>
  <c r="I10" i="16" s="1"/>
  <c r="M29" i="19"/>
  <c r="A30" i="19"/>
  <c r="O19" i="18"/>
  <c r="A20" i="18"/>
  <c r="A18" i="17"/>
  <c r="R17" i="17"/>
  <c r="A69" i="31" l="1"/>
  <c r="E68" i="31"/>
  <c r="G68" i="31"/>
  <c r="J68" i="31"/>
  <c r="C68" i="31"/>
  <c r="H68" i="31"/>
  <c r="K68" i="31"/>
  <c r="B68" i="31"/>
  <c r="E69" i="30"/>
  <c r="H69" i="30"/>
  <c r="A70" i="30"/>
  <c r="J69" i="30"/>
  <c r="K69" i="30"/>
  <c r="F69" i="30"/>
  <c r="C10" i="23"/>
  <c r="C62" i="23" s="1"/>
  <c r="C73" i="23" s="1"/>
  <c r="F10" i="2"/>
  <c r="G9" i="2"/>
  <c r="H9" i="2" s="1"/>
  <c r="B11" i="2"/>
  <c r="D10" i="2" s="1"/>
  <c r="E10" i="2" s="1"/>
  <c r="Q9" i="17"/>
  <c r="Q16" i="17" s="1"/>
  <c r="Q29" i="17" s="1"/>
  <c r="P16" i="17"/>
  <c r="P29" i="17" s="1"/>
  <c r="J7" i="16"/>
  <c r="J10" i="16" s="1"/>
  <c r="K37" i="13"/>
  <c r="A31" i="19"/>
  <c r="M30" i="19"/>
  <c r="A21" i="18"/>
  <c r="O20" i="18"/>
  <c r="A19" i="17"/>
  <c r="R18" i="17"/>
  <c r="K69" i="31" l="1"/>
  <c r="B69" i="31"/>
  <c r="C69" i="31"/>
  <c r="E69" i="31"/>
  <c r="F69" i="31"/>
  <c r="H69" i="31"/>
  <c r="J69" i="31"/>
  <c r="A70" i="31"/>
  <c r="A71" i="30"/>
  <c r="J70" i="30"/>
  <c r="E70" i="30"/>
  <c r="G70" i="30"/>
  <c r="K70" i="30"/>
  <c r="H70" i="30"/>
  <c r="G10" i="2"/>
  <c r="H10" i="2" s="1"/>
  <c r="F11" i="2"/>
  <c r="B12" i="2"/>
  <c r="D11" i="2" s="1"/>
  <c r="E11" i="2" s="1"/>
  <c r="K7" i="16"/>
  <c r="K10" i="16" s="1"/>
  <c r="L7" i="16"/>
  <c r="L10" i="16" s="1"/>
  <c r="A32" i="19"/>
  <c r="M31" i="19"/>
  <c r="A22" i="18"/>
  <c r="O21" i="18"/>
  <c r="R19" i="17"/>
  <c r="A20" i="17"/>
  <c r="G70" i="31" l="1"/>
  <c r="H70" i="31"/>
  <c r="J70" i="31"/>
  <c r="B70" i="31"/>
  <c r="E70" i="31"/>
  <c r="K70" i="31"/>
  <c r="A71" i="31"/>
  <c r="C70" i="31"/>
  <c r="A72" i="30"/>
  <c r="J71" i="30"/>
  <c r="F71" i="30"/>
  <c r="H71" i="30"/>
  <c r="K71" i="30"/>
  <c r="E71" i="30"/>
  <c r="B13" i="2"/>
  <c r="D12" i="2" s="1"/>
  <c r="E12" i="2" s="1"/>
  <c r="G11" i="2"/>
  <c r="H11" i="2" s="1"/>
  <c r="F12" i="2"/>
  <c r="M32" i="19"/>
  <c r="A33" i="19"/>
  <c r="A23" i="18"/>
  <c r="O22" i="18"/>
  <c r="R20" i="17"/>
  <c r="A21" i="17"/>
  <c r="C71" i="31" l="1"/>
  <c r="E71" i="31"/>
  <c r="B71" i="31"/>
  <c r="J71" i="31"/>
  <c r="K71" i="31"/>
  <c r="A72" i="31"/>
  <c r="F71" i="31"/>
  <c r="H71" i="31"/>
  <c r="A73" i="30"/>
  <c r="J72" i="30"/>
  <c r="K72" i="30"/>
  <c r="E72" i="30"/>
  <c r="G72" i="30"/>
  <c r="H72" i="30"/>
  <c r="G12" i="2"/>
  <c r="H12" i="2" s="1"/>
  <c r="F13" i="2"/>
  <c r="B14" i="2"/>
  <c r="D13" i="2" s="1"/>
  <c r="E13" i="2" s="1"/>
  <c r="M33" i="19"/>
  <c r="A34" i="19"/>
  <c r="A24" i="18"/>
  <c r="O23" i="18"/>
  <c r="R21" i="17"/>
  <c r="A22" i="17"/>
  <c r="B72" i="31" l="1"/>
  <c r="A73" i="31"/>
  <c r="J72" i="31"/>
  <c r="K72" i="31"/>
  <c r="G72" i="31"/>
  <c r="C72" i="31"/>
  <c r="E72" i="31"/>
  <c r="H72" i="31"/>
  <c r="K73" i="30"/>
  <c r="A74" i="30"/>
  <c r="J73" i="30"/>
  <c r="E73" i="30"/>
  <c r="F73" i="30"/>
  <c r="H73" i="30"/>
  <c r="B15" i="2"/>
  <c r="D14" i="2" s="1"/>
  <c r="E14" i="2" s="1"/>
  <c r="F14" i="2"/>
  <c r="G13" i="2"/>
  <c r="H13" i="2" s="1"/>
  <c r="M34" i="19"/>
  <c r="A35" i="19"/>
  <c r="O24" i="18"/>
  <c r="A25" i="18"/>
  <c r="A23" i="17"/>
  <c r="R22" i="17"/>
  <c r="K73" i="31" l="1"/>
  <c r="F73" i="31"/>
  <c r="H73" i="31"/>
  <c r="J73" i="31"/>
  <c r="A74" i="31"/>
  <c r="B73" i="31"/>
  <c r="C73" i="31"/>
  <c r="E73" i="31"/>
  <c r="J74" i="30"/>
  <c r="A75" i="30"/>
  <c r="K74" i="30"/>
  <c r="E74" i="30"/>
  <c r="G74" i="30"/>
  <c r="H74" i="30"/>
  <c r="F15" i="2"/>
  <c r="G14" i="2"/>
  <c r="H14" i="2" s="1"/>
  <c r="B16" i="2"/>
  <c r="D15" i="2" s="1"/>
  <c r="E15" i="2" s="1"/>
  <c r="A36" i="19"/>
  <c r="M35" i="19"/>
  <c r="A26" i="18"/>
  <c r="O25" i="18"/>
  <c r="R23" i="17"/>
  <c r="A24" i="17"/>
  <c r="G74" i="31" l="1"/>
  <c r="E74" i="31"/>
  <c r="K74" i="31"/>
  <c r="H74" i="31"/>
  <c r="B74" i="31"/>
  <c r="C74" i="31"/>
  <c r="J74" i="31"/>
  <c r="A75" i="31"/>
  <c r="H75" i="30"/>
  <c r="A76" i="30"/>
  <c r="K75" i="30"/>
  <c r="F75" i="30"/>
  <c r="E75" i="30"/>
  <c r="J75" i="30"/>
  <c r="B17" i="2"/>
  <c r="D16" i="2" s="1"/>
  <c r="E16" i="2" s="1"/>
  <c r="G15" i="2"/>
  <c r="H15" i="2" s="1"/>
  <c r="F16" i="2"/>
  <c r="A37" i="19"/>
  <c r="M36" i="19"/>
  <c r="A27" i="18"/>
  <c r="O26" i="18"/>
  <c r="R24" i="17"/>
  <c r="A25" i="17"/>
  <c r="C75" i="31" l="1"/>
  <c r="B75" i="31"/>
  <c r="A76" i="31"/>
  <c r="K75" i="31"/>
  <c r="H75" i="31"/>
  <c r="J75" i="31"/>
  <c r="E75" i="31"/>
  <c r="F75" i="31"/>
  <c r="G76" i="30"/>
  <c r="A77" i="30"/>
  <c r="K76" i="30"/>
  <c r="H76" i="30"/>
  <c r="J76" i="30"/>
  <c r="E76" i="30"/>
  <c r="G16" i="2"/>
  <c r="H16" i="2" s="1"/>
  <c r="F17" i="2"/>
  <c r="B18" i="2"/>
  <c r="D17" i="2" s="1"/>
  <c r="E17" i="2" s="1"/>
  <c r="M37" i="19"/>
  <c r="A38" i="19"/>
  <c r="A28" i="18"/>
  <c r="O27" i="18"/>
  <c r="R25" i="17"/>
  <c r="A26" i="17"/>
  <c r="J76" i="31" l="1"/>
  <c r="B76" i="31"/>
  <c r="A77" i="31"/>
  <c r="H76" i="31"/>
  <c r="C76" i="31"/>
  <c r="E76" i="31"/>
  <c r="G76" i="31"/>
  <c r="K76" i="31"/>
  <c r="E77" i="30"/>
  <c r="A78" i="30"/>
  <c r="K77" i="30"/>
  <c r="H77" i="30"/>
  <c r="F77" i="30"/>
  <c r="J77" i="30"/>
  <c r="B19" i="2"/>
  <c r="F18" i="2"/>
  <c r="G17" i="2"/>
  <c r="H17" i="2" s="1"/>
  <c r="M38" i="19"/>
  <c r="A39" i="19"/>
  <c r="A29" i="18"/>
  <c r="O28" i="18"/>
  <c r="A27" i="17"/>
  <c r="R26" i="17"/>
  <c r="E77" i="31" l="1"/>
  <c r="J77" i="31"/>
  <c r="K77" i="31"/>
  <c r="A78" i="31"/>
  <c r="C77" i="31"/>
  <c r="B77" i="31"/>
  <c r="F77" i="31"/>
  <c r="H77" i="31"/>
  <c r="A79" i="30"/>
  <c r="K78" i="30"/>
  <c r="E78" i="30"/>
  <c r="H78" i="30"/>
  <c r="J78" i="30"/>
  <c r="G78" i="30"/>
  <c r="B20" i="2"/>
  <c r="F19" i="2"/>
  <c r="D18" i="2"/>
  <c r="E18" i="2" s="1"/>
  <c r="G18" i="2" s="1"/>
  <c r="H18" i="2" s="1"/>
  <c r="M39" i="19"/>
  <c r="A40" i="19"/>
  <c r="O29" i="18"/>
  <c r="A30" i="18"/>
  <c r="A29" i="17"/>
  <c r="R27" i="17"/>
  <c r="B78" i="31" l="1"/>
  <c r="G78" i="31"/>
  <c r="H78" i="31"/>
  <c r="J78" i="31"/>
  <c r="K78" i="31"/>
  <c r="C78" i="31"/>
  <c r="E78" i="31"/>
  <c r="A79" i="31"/>
  <c r="K79" i="30"/>
  <c r="H79" i="30"/>
  <c r="A80" i="30"/>
  <c r="E79" i="30"/>
  <c r="F79" i="30"/>
  <c r="J79" i="30"/>
  <c r="F20" i="2"/>
  <c r="B21" i="2"/>
  <c r="D20" i="2" s="1"/>
  <c r="E20" i="2" s="1"/>
  <c r="D19" i="2"/>
  <c r="E19" i="2" s="1"/>
  <c r="G19" i="2" s="1"/>
  <c r="H19" i="2" s="1"/>
  <c r="M40" i="19"/>
  <c r="A41" i="19"/>
  <c r="A31" i="18"/>
  <c r="O30" i="18"/>
  <c r="A31" i="17"/>
  <c r="R29" i="17"/>
  <c r="H79" i="31" l="1"/>
  <c r="E79" i="31"/>
  <c r="B79" i="31"/>
  <c r="A80" i="31"/>
  <c r="K79" i="31"/>
  <c r="C79" i="31"/>
  <c r="F79" i="31"/>
  <c r="J79" i="31"/>
  <c r="K80" i="30"/>
  <c r="E80" i="30"/>
  <c r="G80" i="30"/>
  <c r="J80" i="30"/>
  <c r="A81" i="30"/>
  <c r="H80" i="30"/>
  <c r="F21" i="2"/>
  <c r="G20" i="2"/>
  <c r="H20" i="2" s="1"/>
  <c r="B22" i="2"/>
  <c r="D21" i="2" s="1"/>
  <c r="E21" i="2" s="1"/>
  <c r="A42" i="19"/>
  <c r="M41" i="19"/>
  <c r="O31" i="18"/>
  <c r="A32" i="18"/>
  <c r="R31" i="17"/>
  <c r="A32" i="17"/>
  <c r="A81" i="31" l="1"/>
  <c r="B80" i="31"/>
  <c r="C80" i="31"/>
  <c r="E80" i="31"/>
  <c r="G80" i="31"/>
  <c r="H80" i="31"/>
  <c r="J80" i="31"/>
  <c r="K80" i="31"/>
  <c r="K81" i="30"/>
  <c r="E81" i="30"/>
  <c r="H81" i="30"/>
  <c r="F81" i="30"/>
  <c r="A82" i="30"/>
  <c r="J81" i="30"/>
  <c r="G21" i="2"/>
  <c r="H21" i="2" s="1"/>
  <c r="F22" i="2"/>
  <c r="B23" i="2"/>
  <c r="D22" i="2" s="1"/>
  <c r="E22" i="2" s="1"/>
  <c r="M42" i="19"/>
  <c r="A43" i="19"/>
  <c r="A33" i="18"/>
  <c r="O32" i="18"/>
  <c r="A33" i="17"/>
  <c r="R32" i="17"/>
  <c r="K81" i="31" l="1"/>
  <c r="B81" i="31"/>
  <c r="E81" i="31"/>
  <c r="C81" i="31"/>
  <c r="H81" i="31"/>
  <c r="J81" i="31"/>
  <c r="A82" i="31"/>
  <c r="F81" i="31"/>
  <c r="J82" i="30"/>
  <c r="E82" i="30"/>
  <c r="H82" i="30"/>
  <c r="K82" i="30"/>
  <c r="A83" i="30"/>
  <c r="G82" i="30"/>
  <c r="G22" i="2"/>
  <c r="H22" i="2" s="1"/>
  <c r="M43" i="19"/>
  <c r="A44" i="19"/>
  <c r="O33" i="18"/>
  <c r="A34" i="18"/>
  <c r="A34" i="17"/>
  <c r="R33" i="17"/>
  <c r="G82" i="31" l="1"/>
  <c r="J82" i="31"/>
  <c r="K82" i="31"/>
  <c r="E82" i="31"/>
  <c r="C82" i="31"/>
  <c r="A83" i="31"/>
  <c r="B82" i="31"/>
  <c r="H82" i="31"/>
  <c r="H83" i="30"/>
  <c r="J83" i="30"/>
  <c r="A84" i="30"/>
  <c r="F83" i="30"/>
  <c r="K83" i="30"/>
  <c r="E83" i="30"/>
  <c r="M44" i="19"/>
  <c r="A45" i="19"/>
  <c r="A35" i="18"/>
  <c r="O34" i="18"/>
  <c r="R34" i="17"/>
  <c r="A35" i="17"/>
  <c r="C83" i="31" l="1"/>
  <c r="F83" i="31"/>
  <c r="H83" i="31"/>
  <c r="J83" i="31"/>
  <c r="B83" i="31"/>
  <c r="A84" i="31"/>
  <c r="E83" i="31"/>
  <c r="K83" i="31"/>
  <c r="G84" i="30"/>
  <c r="E84" i="30"/>
  <c r="J84" i="30"/>
  <c r="K84" i="30"/>
  <c r="H84" i="30"/>
  <c r="A85" i="30"/>
  <c r="M45" i="19"/>
  <c r="A46" i="19"/>
  <c r="A36" i="18"/>
  <c r="O35" i="18"/>
  <c r="R35" i="17"/>
  <c r="A36" i="17"/>
  <c r="J84" i="31" l="1"/>
  <c r="E84" i="31"/>
  <c r="K84" i="31"/>
  <c r="G84" i="31"/>
  <c r="H84" i="31"/>
  <c r="B84" i="31"/>
  <c r="C84" i="31"/>
  <c r="A85" i="31"/>
  <c r="E85" i="30"/>
  <c r="F85" i="30"/>
  <c r="J85" i="30"/>
  <c r="H85" i="30"/>
  <c r="K85" i="30"/>
  <c r="A86" i="30"/>
  <c r="M46" i="19"/>
  <c r="A47" i="19"/>
  <c r="A37" i="18"/>
  <c r="O36" i="18"/>
  <c r="R36" i="17"/>
  <c r="A37" i="17"/>
  <c r="E85" i="31" l="1"/>
  <c r="B85" i="31"/>
  <c r="C85" i="31"/>
  <c r="A86" i="31"/>
  <c r="K85" i="31"/>
  <c r="H85" i="31"/>
  <c r="J85" i="31"/>
  <c r="F85" i="31"/>
  <c r="E86" i="30"/>
  <c r="G86" i="30"/>
  <c r="J86" i="30"/>
  <c r="K86" i="30"/>
  <c r="H86" i="30"/>
  <c r="A87" i="30"/>
  <c r="M47" i="19"/>
  <c r="A48" i="19"/>
  <c r="A38" i="18"/>
  <c r="O37" i="18"/>
  <c r="R37" i="17"/>
  <c r="A38" i="17"/>
  <c r="B86" i="31" l="1"/>
  <c r="K86" i="31"/>
  <c r="A87" i="31"/>
  <c r="H86" i="31"/>
  <c r="C86" i="31"/>
  <c r="E86" i="31"/>
  <c r="G86" i="31"/>
  <c r="J86" i="31"/>
  <c r="A88" i="30"/>
  <c r="K87" i="30"/>
  <c r="H87" i="30"/>
  <c r="E87" i="30"/>
  <c r="F87" i="30"/>
  <c r="J87" i="30"/>
  <c r="M48" i="19"/>
  <c r="A49" i="19"/>
  <c r="A39" i="18"/>
  <c r="O38" i="18"/>
  <c r="R38" i="17"/>
  <c r="A39" i="17"/>
  <c r="H87" i="31" l="1"/>
  <c r="J87" i="31"/>
  <c r="K87" i="31"/>
  <c r="A88" i="31"/>
  <c r="E87" i="31"/>
  <c r="F87" i="31"/>
  <c r="B87" i="31"/>
  <c r="C87" i="31"/>
  <c r="J88" i="30"/>
  <c r="K88" i="30"/>
  <c r="A89" i="30"/>
  <c r="G88" i="30"/>
  <c r="H88" i="30"/>
  <c r="E88" i="30"/>
  <c r="M49" i="19"/>
  <c r="A50" i="19"/>
  <c r="A40" i="18"/>
  <c r="O39" i="18"/>
  <c r="R39" i="17"/>
  <c r="A40" i="17"/>
  <c r="A89" i="31" l="1"/>
  <c r="G88" i="31"/>
  <c r="H88" i="31"/>
  <c r="B88" i="31"/>
  <c r="C88" i="31"/>
  <c r="E88" i="31"/>
  <c r="J88" i="31"/>
  <c r="K88" i="31"/>
  <c r="H89" i="30"/>
  <c r="E89" i="30"/>
  <c r="J89" i="30"/>
  <c r="K89" i="30"/>
  <c r="F89" i="30"/>
  <c r="A90" i="30"/>
  <c r="M50" i="19"/>
  <c r="A51" i="19"/>
  <c r="O40" i="18"/>
  <c r="A41" i="18"/>
  <c r="A41" i="17"/>
  <c r="R40" i="17"/>
  <c r="K89" i="31" l="1"/>
  <c r="E89" i="31"/>
  <c r="B89" i="31"/>
  <c r="C89" i="31"/>
  <c r="J89" i="31"/>
  <c r="A90" i="31"/>
  <c r="F89" i="31"/>
  <c r="H89" i="31"/>
  <c r="K90" i="30"/>
  <c r="G90" i="30"/>
  <c r="A91" i="30"/>
  <c r="H90" i="30"/>
  <c r="E90" i="30"/>
  <c r="J90" i="30"/>
  <c r="M51" i="19"/>
  <c r="A52" i="19"/>
  <c r="A42" i="18"/>
  <c r="O41" i="18"/>
  <c r="R41" i="17"/>
  <c r="A42" i="17"/>
  <c r="G90" i="31" l="1"/>
  <c r="B90" i="31"/>
  <c r="C90" i="31"/>
  <c r="A91" i="31"/>
  <c r="H90" i="31"/>
  <c r="J90" i="31"/>
  <c r="E90" i="31"/>
  <c r="K90" i="31"/>
  <c r="J91" i="30"/>
  <c r="E91" i="30"/>
  <c r="F91" i="30"/>
  <c r="H91" i="30"/>
  <c r="K91" i="30"/>
  <c r="A92" i="30"/>
  <c r="M52" i="19"/>
  <c r="A53" i="19"/>
  <c r="A43" i="18"/>
  <c r="O42" i="18"/>
  <c r="A43" i="17"/>
  <c r="R42" i="17"/>
  <c r="C91" i="31" l="1"/>
  <c r="K91" i="31"/>
  <c r="E91" i="31"/>
  <c r="B91" i="31"/>
  <c r="A92" i="31"/>
  <c r="H91" i="31"/>
  <c r="J91" i="31"/>
  <c r="F91" i="31"/>
  <c r="H92" i="30"/>
  <c r="A93" i="30"/>
  <c r="E92" i="30"/>
  <c r="J92" i="30"/>
  <c r="K92" i="30"/>
  <c r="G92" i="30"/>
  <c r="M53" i="19"/>
  <c r="A54" i="19"/>
  <c r="A44" i="18"/>
  <c r="O43" i="18"/>
  <c r="R43" i="17"/>
  <c r="A44" i="17"/>
  <c r="J92" i="31" l="1"/>
  <c r="H92" i="31"/>
  <c r="K92" i="31"/>
  <c r="E92" i="31"/>
  <c r="C92" i="31"/>
  <c r="B92" i="31"/>
  <c r="G92" i="31"/>
  <c r="A93" i="31"/>
  <c r="F93" i="30"/>
  <c r="H93" i="30"/>
  <c r="K93" i="30"/>
  <c r="A94" i="30"/>
  <c r="E93" i="30"/>
  <c r="J93" i="30"/>
  <c r="M54" i="19"/>
  <c r="A55" i="19"/>
  <c r="A45" i="18"/>
  <c r="O44" i="18"/>
  <c r="A45" i="17"/>
  <c r="R44" i="17"/>
  <c r="E93" i="31" l="1"/>
  <c r="F93" i="31"/>
  <c r="H93" i="31"/>
  <c r="J93" i="31"/>
  <c r="C93" i="31"/>
  <c r="K93" i="31"/>
  <c r="A94" i="31"/>
  <c r="B93" i="31"/>
  <c r="E94" i="30"/>
  <c r="J94" i="30"/>
  <c r="A95" i="30"/>
  <c r="G94" i="30"/>
  <c r="H94" i="30"/>
  <c r="K94" i="30"/>
  <c r="M55" i="19"/>
  <c r="A56" i="19"/>
  <c r="O45" i="18"/>
  <c r="A46" i="18"/>
  <c r="R45" i="17"/>
  <c r="A46" i="17"/>
  <c r="B94" i="31" l="1"/>
  <c r="E94" i="31"/>
  <c r="J94" i="31"/>
  <c r="G94" i="31"/>
  <c r="A95" i="31"/>
  <c r="C94" i="31"/>
  <c r="H94" i="31"/>
  <c r="K94" i="31"/>
  <c r="A96" i="30"/>
  <c r="K95" i="30"/>
  <c r="E95" i="30"/>
  <c r="F95" i="30"/>
  <c r="J95" i="30"/>
  <c r="H95" i="30"/>
  <c r="M56" i="19"/>
  <c r="A57" i="19"/>
  <c r="A47" i="18"/>
  <c r="O46" i="18"/>
  <c r="R46" i="17"/>
  <c r="A47" i="17"/>
  <c r="H95" i="31" l="1"/>
  <c r="B95" i="31"/>
  <c r="C95" i="31"/>
  <c r="A96" i="31"/>
  <c r="K95" i="31"/>
  <c r="F95" i="31"/>
  <c r="J95" i="31"/>
  <c r="E95" i="31"/>
  <c r="J96" i="30"/>
  <c r="A97" i="30"/>
  <c r="E96" i="30"/>
  <c r="G96" i="30"/>
  <c r="K96" i="30"/>
  <c r="H96" i="30"/>
  <c r="M57" i="19"/>
  <c r="A58" i="19"/>
  <c r="A48" i="18"/>
  <c r="O47" i="18"/>
  <c r="A48" i="17"/>
  <c r="R47" i="17"/>
  <c r="K96" i="31" l="1"/>
  <c r="H96" i="31"/>
  <c r="E96" i="31"/>
  <c r="G96" i="31"/>
  <c r="B96" i="31"/>
  <c r="C96" i="31"/>
  <c r="J96" i="31"/>
  <c r="A97" i="31"/>
  <c r="H97" i="30"/>
  <c r="E97" i="30"/>
  <c r="J97" i="30"/>
  <c r="F97" i="30"/>
  <c r="A98" i="30"/>
  <c r="K97" i="30"/>
  <c r="M58" i="19"/>
  <c r="A59" i="19"/>
  <c r="A49" i="18"/>
  <c r="O48" i="18"/>
  <c r="A49" i="17"/>
  <c r="R48" i="17"/>
  <c r="F97" i="31" l="1"/>
  <c r="H97" i="31"/>
  <c r="J97" i="31"/>
  <c r="K97" i="31"/>
  <c r="E97" i="31"/>
  <c r="A98" i="31"/>
  <c r="B97" i="31"/>
  <c r="C97" i="31"/>
  <c r="K98" i="30"/>
  <c r="G98" i="30"/>
  <c r="H98" i="30"/>
  <c r="J98" i="30"/>
  <c r="A99" i="30"/>
  <c r="E98" i="30"/>
  <c r="M59" i="19"/>
  <c r="A60" i="19"/>
  <c r="A50" i="18"/>
  <c r="O49" i="18"/>
  <c r="A50" i="17"/>
  <c r="R49" i="17"/>
  <c r="C98" i="31" l="1"/>
  <c r="A99" i="31"/>
  <c r="K98" i="31"/>
  <c r="H98" i="31"/>
  <c r="B98" i="31"/>
  <c r="E98" i="31"/>
  <c r="G98" i="31"/>
  <c r="J98" i="31"/>
  <c r="J99" i="30"/>
  <c r="E99" i="30"/>
  <c r="F99" i="30"/>
  <c r="K99" i="30"/>
  <c r="A100" i="30"/>
  <c r="H99" i="30"/>
  <c r="M60" i="19"/>
  <c r="A61" i="19"/>
  <c r="O50" i="18"/>
  <c r="A51" i="18"/>
  <c r="A51" i="17"/>
  <c r="R50" i="17"/>
  <c r="J99" i="31" l="1"/>
  <c r="K99" i="31"/>
  <c r="F99" i="31"/>
  <c r="B99" i="31"/>
  <c r="C99" i="31"/>
  <c r="E99" i="31"/>
  <c r="H99" i="31"/>
  <c r="A100" i="31"/>
  <c r="L99" i="30"/>
  <c r="L98" i="30"/>
  <c r="L32" i="30"/>
  <c r="L33" i="30"/>
  <c r="L34" i="30"/>
  <c r="L35" i="30"/>
  <c r="L37" i="30"/>
  <c r="L36" i="30"/>
  <c r="L39" i="30"/>
  <c r="L38" i="30"/>
  <c r="L41" i="30"/>
  <c r="L40" i="30"/>
  <c r="L42" i="30"/>
  <c r="L43" i="30"/>
  <c r="L44" i="30"/>
  <c r="L45" i="30"/>
  <c r="L46" i="30"/>
  <c r="L47" i="30"/>
  <c r="L49" i="30"/>
  <c r="L48" i="30"/>
  <c r="L50" i="30"/>
  <c r="L51" i="30"/>
  <c r="L52" i="30"/>
  <c r="L53" i="30"/>
  <c r="L54" i="30"/>
  <c r="L55" i="30"/>
  <c r="L57" i="30"/>
  <c r="L56" i="30"/>
  <c r="L58" i="30"/>
  <c r="L59" i="30"/>
  <c r="L61" i="30"/>
  <c r="L60" i="30"/>
  <c r="L63" i="30"/>
  <c r="L62" i="30"/>
  <c r="L65" i="30"/>
  <c r="L64" i="30"/>
  <c r="L67" i="30"/>
  <c r="L66" i="30"/>
  <c r="L68" i="30"/>
  <c r="L69" i="30"/>
  <c r="L70" i="30"/>
  <c r="L71" i="30"/>
  <c r="L72" i="30"/>
  <c r="L73" i="30"/>
  <c r="L74" i="30"/>
  <c r="L75" i="30"/>
  <c r="L77" i="30"/>
  <c r="L76" i="30"/>
  <c r="L78" i="30"/>
  <c r="L79" i="30"/>
  <c r="L80" i="30"/>
  <c r="L81" i="30"/>
  <c r="L82" i="30"/>
  <c r="L83" i="30"/>
  <c r="L84" i="30"/>
  <c r="L85" i="30"/>
  <c r="L86" i="30"/>
  <c r="L87" i="30"/>
  <c r="L96" i="30"/>
  <c r="L88" i="30"/>
  <c r="L90" i="30"/>
  <c r="L92" i="30"/>
  <c r="L97" i="30"/>
  <c r="L94" i="30"/>
  <c r="L95" i="30"/>
  <c r="L89" i="30"/>
  <c r="L93" i="30"/>
  <c r="L91" i="30"/>
  <c r="H100" i="30"/>
  <c r="J100" i="30"/>
  <c r="D12" i="30" s="1"/>
  <c r="G100" i="30"/>
  <c r="K100" i="30"/>
  <c r="D97" i="30" s="1"/>
  <c r="E100" i="30"/>
  <c r="M61" i="19"/>
  <c r="A62" i="19"/>
  <c r="O51" i="18"/>
  <c r="A52" i="18"/>
  <c r="A52" i="17"/>
  <c r="R51" i="17"/>
  <c r="D95" i="30" l="1"/>
  <c r="D94" i="30"/>
  <c r="D98" i="30"/>
  <c r="L99" i="31"/>
  <c r="L98" i="31"/>
  <c r="L18" i="31"/>
  <c r="L19" i="31"/>
  <c r="L21" i="31"/>
  <c r="L20" i="31"/>
  <c r="L22" i="31"/>
  <c r="L23" i="31"/>
  <c r="L24" i="31"/>
  <c r="L25" i="31"/>
  <c r="L27" i="31"/>
  <c r="L26" i="31"/>
  <c r="L28" i="31"/>
  <c r="L29" i="31"/>
  <c r="L31" i="31"/>
  <c r="L30" i="31"/>
  <c r="L33" i="31"/>
  <c r="L32" i="31"/>
  <c r="L34" i="31"/>
  <c r="L35" i="31"/>
  <c r="L36" i="31"/>
  <c r="L37" i="31"/>
  <c r="L38" i="31"/>
  <c r="L39" i="31"/>
  <c r="L41" i="31"/>
  <c r="L40" i="31"/>
  <c r="L43" i="31"/>
  <c r="L42" i="31"/>
  <c r="L45" i="31"/>
  <c r="L44" i="31"/>
  <c r="L47" i="31"/>
  <c r="L46" i="31"/>
  <c r="L49" i="31"/>
  <c r="L48" i="31"/>
  <c r="L51" i="31"/>
  <c r="L50" i="31"/>
  <c r="L53" i="31"/>
  <c r="L52" i="31"/>
  <c r="L54" i="31"/>
  <c r="L55" i="31"/>
  <c r="L57" i="31"/>
  <c r="L56" i="31"/>
  <c r="L58" i="31"/>
  <c r="L59" i="31"/>
  <c r="L61" i="31"/>
  <c r="L60" i="31"/>
  <c r="L62" i="31"/>
  <c r="L63" i="31"/>
  <c r="L65" i="31"/>
  <c r="L64" i="31"/>
  <c r="L67" i="31"/>
  <c r="L66" i="31"/>
  <c r="L68" i="31"/>
  <c r="L69" i="31"/>
  <c r="L71" i="31"/>
  <c r="L70" i="31"/>
  <c r="L73" i="31"/>
  <c r="L72" i="31"/>
  <c r="L74" i="31"/>
  <c r="L75" i="31"/>
  <c r="L77" i="31"/>
  <c r="L76" i="31"/>
  <c r="L78" i="31"/>
  <c r="L79" i="31"/>
  <c r="L80" i="31"/>
  <c r="L81" i="31"/>
  <c r="L82" i="31"/>
  <c r="L83" i="31"/>
  <c r="L84" i="31"/>
  <c r="L85" i="31"/>
  <c r="L87" i="31"/>
  <c r="L86" i="31"/>
  <c r="L91" i="31"/>
  <c r="L94" i="31"/>
  <c r="L96" i="31"/>
  <c r="L90" i="31"/>
  <c r="L88" i="31"/>
  <c r="L95" i="31"/>
  <c r="L97" i="31"/>
  <c r="L89" i="31"/>
  <c r="L92" i="31"/>
  <c r="L93" i="31"/>
  <c r="E100" i="31"/>
  <c r="G100" i="31"/>
  <c r="K100" i="31"/>
  <c r="D99" i="31" s="1"/>
  <c r="H100" i="31"/>
  <c r="C100" i="31"/>
  <c r="C101" i="31" s="1"/>
  <c r="B100" i="31"/>
  <c r="J100" i="31"/>
  <c r="D12" i="31" s="1"/>
  <c r="D100" i="30"/>
  <c r="D13" i="30"/>
  <c r="E13" i="30" s="1"/>
  <c r="D14" i="30"/>
  <c r="E14" i="30" s="1"/>
  <c r="D15" i="30"/>
  <c r="E15" i="30" s="1"/>
  <c r="D16" i="30"/>
  <c r="E16" i="30" s="1"/>
  <c r="D18" i="30"/>
  <c r="E18" i="30" s="1"/>
  <c r="D17" i="30"/>
  <c r="E17" i="30" s="1"/>
  <c r="D19" i="30"/>
  <c r="E19" i="30" s="1"/>
  <c r="D21" i="30"/>
  <c r="E21" i="30" s="1"/>
  <c r="D20" i="30"/>
  <c r="E20" i="30" s="1"/>
  <c r="F21" i="30" s="1"/>
  <c r="D22" i="30"/>
  <c r="E22" i="30" s="1"/>
  <c r="D23" i="30"/>
  <c r="E23" i="30" s="1"/>
  <c r="D25" i="30"/>
  <c r="E25" i="30" s="1"/>
  <c r="D24" i="30"/>
  <c r="E24" i="30" s="1"/>
  <c r="F25" i="30" s="1"/>
  <c r="D26" i="30"/>
  <c r="E26" i="30" s="1"/>
  <c r="D27" i="30"/>
  <c r="E27" i="30" s="1"/>
  <c r="G28" i="30" s="1"/>
  <c r="D28" i="30"/>
  <c r="E28" i="30" s="1"/>
  <c r="D29" i="30"/>
  <c r="E29" i="30" s="1"/>
  <c r="D31" i="30"/>
  <c r="E31" i="30" s="1"/>
  <c r="D30" i="30"/>
  <c r="E30" i="30" s="1"/>
  <c r="F31" i="30" s="1"/>
  <c r="D33" i="30"/>
  <c r="D32" i="30"/>
  <c r="D34" i="30"/>
  <c r="D36" i="30"/>
  <c r="D35" i="30"/>
  <c r="D37" i="30"/>
  <c r="D40" i="30"/>
  <c r="D38" i="30"/>
  <c r="D39" i="30"/>
  <c r="D42" i="30"/>
  <c r="D43" i="30"/>
  <c r="D41" i="30"/>
  <c r="D44" i="30"/>
  <c r="D46" i="30"/>
  <c r="D45" i="30"/>
  <c r="D49" i="30"/>
  <c r="D47" i="30"/>
  <c r="D48" i="30"/>
  <c r="D51" i="30"/>
  <c r="D50" i="30"/>
  <c r="D52" i="30"/>
  <c r="D54" i="30"/>
  <c r="D55" i="30"/>
  <c r="D53" i="30"/>
  <c r="D58" i="30"/>
  <c r="D56" i="30"/>
  <c r="D59" i="30"/>
  <c r="D57" i="30"/>
  <c r="D62" i="30"/>
  <c r="D60" i="30"/>
  <c r="D64" i="30"/>
  <c r="D61" i="30"/>
  <c r="D63" i="30"/>
  <c r="D67" i="30"/>
  <c r="D68" i="30"/>
  <c r="D65" i="30"/>
  <c r="D66" i="30"/>
  <c r="D69" i="30"/>
  <c r="D70" i="30"/>
  <c r="D71" i="30"/>
  <c r="D72" i="30"/>
  <c r="D73" i="30"/>
  <c r="D74" i="30"/>
  <c r="D75" i="30"/>
  <c r="D77" i="30"/>
  <c r="D76" i="30"/>
  <c r="D78" i="30"/>
  <c r="D79" i="30"/>
  <c r="D80" i="30"/>
  <c r="D81" i="30"/>
  <c r="D82" i="30"/>
  <c r="D83" i="30"/>
  <c r="D84" i="30"/>
  <c r="D85" i="30"/>
  <c r="D86" i="30"/>
  <c r="D88" i="30"/>
  <c r="D87" i="30"/>
  <c r="D89" i="30"/>
  <c r="D91" i="30"/>
  <c r="D90" i="30"/>
  <c r="D92" i="30"/>
  <c r="D93" i="30"/>
  <c r="M99" i="30"/>
  <c r="M100" i="30"/>
  <c r="M32" i="30"/>
  <c r="M31" i="30"/>
  <c r="M34" i="30"/>
  <c r="M33" i="30"/>
  <c r="M36" i="30"/>
  <c r="M35" i="30"/>
  <c r="M37" i="30"/>
  <c r="M38" i="30"/>
  <c r="M39" i="30"/>
  <c r="M40" i="30"/>
  <c r="M42" i="30"/>
  <c r="M41" i="30"/>
  <c r="M44" i="30"/>
  <c r="M43" i="30"/>
  <c r="M46" i="30"/>
  <c r="M45" i="30"/>
  <c r="M47" i="30"/>
  <c r="M48" i="30"/>
  <c r="M49" i="30"/>
  <c r="M50" i="30"/>
  <c r="M51" i="30"/>
  <c r="M52" i="30"/>
  <c r="M53" i="30"/>
  <c r="M54" i="30"/>
  <c r="M56" i="30"/>
  <c r="M55" i="30"/>
  <c r="M57" i="30"/>
  <c r="M58" i="30"/>
  <c r="M60" i="30"/>
  <c r="M59" i="30"/>
  <c r="M61" i="30"/>
  <c r="M62" i="30"/>
  <c r="M64" i="30"/>
  <c r="M63" i="30"/>
  <c r="M65" i="30"/>
  <c r="M66" i="30"/>
  <c r="M67" i="30"/>
  <c r="M68" i="30"/>
  <c r="M69" i="30"/>
  <c r="M70" i="30"/>
  <c r="M72" i="30"/>
  <c r="M71" i="30"/>
  <c r="M74" i="30"/>
  <c r="M73" i="30"/>
  <c r="M75" i="30"/>
  <c r="M76" i="30"/>
  <c r="M78" i="30"/>
  <c r="M77" i="30"/>
  <c r="M80" i="30"/>
  <c r="M79" i="30"/>
  <c r="M81" i="30"/>
  <c r="M82" i="30"/>
  <c r="M84" i="30"/>
  <c r="M83" i="30"/>
  <c r="M85" i="30"/>
  <c r="M86" i="30"/>
  <c r="M87" i="30"/>
  <c r="M88" i="30"/>
  <c r="M94" i="30"/>
  <c r="M93" i="30"/>
  <c r="M95" i="30"/>
  <c r="M98" i="30"/>
  <c r="M96" i="30"/>
  <c r="M91" i="30"/>
  <c r="M92" i="30"/>
  <c r="M89" i="30"/>
  <c r="M90" i="30"/>
  <c r="M97" i="30"/>
  <c r="D96" i="30"/>
  <c r="E12" i="30"/>
  <c r="D99" i="30"/>
  <c r="M62" i="19"/>
  <c r="A63" i="19"/>
  <c r="A53" i="18"/>
  <c r="O53" i="18" s="1"/>
  <c r="O52" i="18"/>
  <c r="A53" i="17"/>
  <c r="R52" i="17"/>
  <c r="D101" i="30" l="1"/>
  <c r="G20" i="30"/>
  <c r="F27" i="30"/>
  <c r="F19" i="30"/>
  <c r="M100" i="31"/>
  <c r="M99" i="31"/>
  <c r="M18" i="31"/>
  <c r="M17" i="31"/>
  <c r="M19" i="31"/>
  <c r="M20" i="31"/>
  <c r="M22" i="31"/>
  <c r="M21" i="31"/>
  <c r="M23" i="31"/>
  <c r="M24" i="31"/>
  <c r="M26" i="31"/>
  <c r="M25" i="31"/>
  <c r="M28" i="31"/>
  <c r="M27" i="31"/>
  <c r="M30" i="31"/>
  <c r="M29" i="31"/>
  <c r="M31" i="31"/>
  <c r="M32" i="31"/>
  <c r="M33" i="31"/>
  <c r="M34" i="31"/>
  <c r="M36" i="31"/>
  <c r="M35" i="31"/>
  <c r="M38" i="31"/>
  <c r="M37" i="31"/>
  <c r="M39" i="31"/>
  <c r="M40" i="31"/>
  <c r="M41" i="31"/>
  <c r="M42" i="31"/>
  <c r="M43" i="31"/>
  <c r="M44" i="31"/>
  <c r="M46" i="31"/>
  <c r="M45" i="31"/>
  <c r="M47" i="31"/>
  <c r="M48" i="31"/>
  <c r="M49" i="31"/>
  <c r="M50" i="31"/>
  <c r="M52" i="31"/>
  <c r="M51" i="31"/>
  <c r="M54" i="31"/>
  <c r="M53" i="31"/>
  <c r="M55" i="31"/>
  <c r="M56" i="31"/>
  <c r="M57" i="31"/>
  <c r="M58" i="31"/>
  <c r="M59" i="31"/>
  <c r="M60" i="31"/>
  <c r="M62" i="31"/>
  <c r="M61" i="31"/>
  <c r="M63" i="31"/>
  <c r="M64" i="31"/>
  <c r="M65" i="31"/>
  <c r="M66" i="31"/>
  <c r="M67" i="31"/>
  <c r="M68" i="31"/>
  <c r="M69" i="31"/>
  <c r="M70" i="31"/>
  <c r="M71" i="31"/>
  <c r="M72" i="31"/>
  <c r="M73" i="31"/>
  <c r="M74" i="31"/>
  <c r="M75" i="31"/>
  <c r="M76" i="31"/>
  <c r="M78" i="31"/>
  <c r="M77" i="31"/>
  <c r="M80" i="31"/>
  <c r="M79" i="31"/>
  <c r="M81" i="31"/>
  <c r="M82" i="31"/>
  <c r="M84" i="31"/>
  <c r="M83" i="31"/>
  <c r="M86" i="31"/>
  <c r="M85" i="31"/>
  <c r="M88" i="31"/>
  <c r="M87" i="31"/>
  <c r="M93" i="31"/>
  <c r="M98" i="31"/>
  <c r="M91" i="31"/>
  <c r="M92" i="31"/>
  <c r="M97" i="31"/>
  <c r="M94" i="31"/>
  <c r="M90" i="31"/>
  <c r="M95" i="31"/>
  <c r="M89" i="31"/>
  <c r="M96" i="31"/>
  <c r="D96" i="31"/>
  <c r="E12" i="31"/>
  <c r="D100" i="31"/>
  <c r="D14" i="31"/>
  <c r="E14" i="31" s="1"/>
  <c r="D13" i="31"/>
  <c r="E13" i="31" s="1"/>
  <c r="D16" i="31"/>
  <c r="E16" i="31" s="1"/>
  <c r="D15" i="31"/>
  <c r="E15" i="31" s="1"/>
  <c r="D18" i="31"/>
  <c r="D17" i="31"/>
  <c r="E17" i="31" s="1"/>
  <c r="D19" i="31"/>
  <c r="D20" i="31"/>
  <c r="D21" i="31"/>
  <c r="D23" i="31"/>
  <c r="D24" i="31"/>
  <c r="D22" i="31"/>
  <c r="D25" i="31"/>
  <c r="D26" i="31"/>
  <c r="D27" i="31"/>
  <c r="D28" i="31"/>
  <c r="D30" i="31"/>
  <c r="D31" i="31"/>
  <c r="D29" i="31"/>
  <c r="D33" i="31"/>
  <c r="D32" i="31"/>
  <c r="D34" i="31"/>
  <c r="D35" i="31"/>
  <c r="D36" i="31"/>
  <c r="D37" i="31"/>
  <c r="D38" i="31"/>
  <c r="D40" i="31"/>
  <c r="D39" i="31"/>
  <c r="D41" i="31"/>
  <c r="D42" i="31"/>
  <c r="D47" i="31"/>
  <c r="D44" i="31"/>
  <c r="D43" i="31"/>
  <c r="D45" i="31"/>
  <c r="D46" i="31"/>
  <c r="D48" i="31"/>
  <c r="D50" i="31"/>
  <c r="D49" i="31"/>
  <c r="D52" i="31"/>
  <c r="D51" i="31"/>
  <c r="D53" i="31"/>
  <c r="D54" i="31"/>
  <c r="D56" i="31"/>
  <c r="D55" i="31"/>
  <c r="D60" i="31"/>
  <c r="D57" i="31"/>
  <c r="D58" i="31"/>
  <c r="D59" i="31"/>
  <c r="D62" i="31"/>
  <c r="D61" i="31"/>
  <c r="D63" i="31"/>
  <c r="D65" i="31"/>
  <c r="D64" i="31"/>
  <c r="D66" i="31"/>
  <c r="D67" i="31"/>
  <c r="D69" i="31"/>
  <c r="D68" i="31"/>
  <c r="D70" i="31"/>
  <c r="D73" i="31"/>
  <c r="D71" i="31"/>
  <c r="D72" i="31"/>
  <c r="D75" i="31"/>
  <c r="D74" i="31"/>
  <c r="D76" i="31"/>
  <c r="D78" i="31"/>
  <c r="D77" i="31"/>
  <c r="D79" i="31"/>
  <c r="D80" i="31"/>
  <c r="D82" i="31"/>
  <c r="D81" i="31"/>
  <c r="D83" i="31"/>
  <c r="D85" i="31"/>
  <c r="D84" i="31"/>
  <c r="D87" i="31"/>
  <c r="D86" i="31"/>
  <c r="D88" i="31"/>
  <c r="D90" i="31"/>
  <c r="D89" i="31"/>
  <c r="D91" i="31"/>
  <c r="D93" i="31"/>
  <c r="D92" i="31"/>
  <c r="D95" i="31"/>
  <c r="D94" i="31"/>
  <c r="D98" i="31"/>
  <c r="D97" i="31"/>
  <c r="H12" i="31"/>
  <c r="H13" i="31" s="1"/>
  <c r="H14" i="31" s="1"/>
  <c r="H15" i="31" s="1"/>
  <c r="H16" i="31" s="1"/>
  <c r="H17" i="31" s="1"/>
  <c r="G18" i="30"/>
  <c r="G26" i="30"/>
  <c r="F17" i="30"/>
  <c r="L30" i="30"/>
  <c r="L31" i="30"/>
  <c r="G24" i="30"/>
  <c r="G16" i="30"/>
  <c r="F23" i="30"/>
  <c r="L20" i="30" s="1"/>
  <c r="F15" i="30"/>
  <c r="G30" i="30"/>
  <c r="M27" i="30" s="1"/>
  <c r="L21" i="30"/>
  <c r="G14" i="30"/>
  <c r="G12" i="30"/>
  <c r="F13" i="30"/>
  <c r="F29" i="30"/>
  <c r="L26" i="30" s="1"/>
  <c r="G22" i="30"/>
  <c r="M63" i="19"/>
  <c r="A64" i="19"/>
  <c r="A54" i="17"/>
  <c r="R53" i="17"/>
  <c r="L18" i="30" l="1"/>
  <c r="M20" i="30"/>
  <c r="L24" i="30"/>
  <c r="L27" i="30"/>
  <c r="F17" i="31"/>
  <c r="L16" i="31" s="1"/>
  <c r="G14" i="31"/>
  <c r="D101" i="31"/>
  <c r="G16" i="31"/>
  <c r="G12" i="31"/>
  <c r="F13" i="31"/>
  <c r="L17" i="31"/>
  <c r="F15" i="31"/>
  <c r="M17" i="30"/>
  <c r="M18" i="30"/>
  <c r="M23" i="30"/>
  <c r="M24" i="30"/>
  <c r="M12" i="30"/>
  <c r="C8" i="30" s="1"/>
  <c r="G101" i="30"/>
  <c r="F8" i="30"/>
  <c r="H5" i="30" s="1"/>
  <c r="H7" i="30" s="1"/>
  <c r="M26" i="30"/>
  <c r="M25" i="30"/>
  <c r="M19" i="30"/>
  <c r="M13" i="30"/>
  <c r="M14" i="30"/>
  <c r="M21" i="30"/>
  <c r="M22" i="30"/>
  <c r="L22" i="30"/>
  <c r="L23" i="30"/>
  <c r="L19" i="30"/>
  <c r="L16" i="30"/>
  <c r="L17" i="30"/>
  <c r="M29" i="30"/>
  <c r="M30" i="30"/>
  <c r="L14" i="30"/>
  <c r="L15" i="30"/>
  <c r="L29" i="30"/>
  <c r="L28" i="30"/>
  <c r="L13" i="30"/>
  <c r="L12" i="30"/>
  <c r="F101" i="30"/>
  <c r="M15" i="30"/>
  <c r="M16" i="30"/>
  <c r="L25" i="30"/>
  <c r="M28" i="30"/>
  <c r="M64" i="19"/>
  <c r="A65" i="19"/>
  <c r="M65" i="19" s="1"/>
  <c r="R54" i="17"/>
  <c r="A55" i="17"/>
  <c r="M13" i="31" l="1"/>
  <c r="M14" i="31"/>
  <c r="L13" i="31"/>
  <c r="F101" i="31"/>
  <c r="L12" i="31"/>
  <c r="C8" i="31" s="1"/>
  <c r="F8" i="31"/>
  <c r="H5" i="31" s="1"/>
  <c r="H7" i="31" s="1"/>
  <c r="M12" i="31"/>
  <c r="G101" i="31"/>
  <c r="M15" i="31"/>
  <c r="M16" i="31"/>
  <c r="L15" i="31"/>
  <c r="L14" i="31"/>
  <c r="R55" i="17"/>
  <c r="A56" i="17"/>
  <c r="A57" i="17" l="1"/>
  <c r="R56" i="17"/>
  <c r="A58" i="17" l="1"/>
  <c r="R57" i="17"/>
  <c r="R58" i="17" l="1"/>
  <c r="A59" i="17"/>
  <c r="A60" i="17" l="1"/>
  <c r="R59" i="17"/>
  <c r="R60" i="17" l="1"/>
  <c r="A61" i="17"/>
  <c r="A62" i="17" l="1"/>
  <c r="R61" i="17"/>
  <c r="R62" i="17" l="1"/>
  <c r="A63" i="17"/>
  <c r="R63" i="17" l="1"/>
  <c r="A64" i="17"/>
  <c r="A65" i="17" l="1"/>
  <c r="R64" i="17"/>
  <c r="R65" i="17" l="1"/>
  <c r="A66" i="17"/>
  <c r="A67" i="17" l="1"/>
  <c r="R66" i="17"/>
  <c r="R67" i="17" l="1"/>
  <c r="A68" i="17"/>
  <c r="A69" i="17" l="1"/>
  <c r="R68" i="17"/>
  <c r="R69" i="17" l="1"/>
  <c r="A70" i="17"/>
  <c r="A71" i="17"/>
  <c r="R71" i="17" s="1"/>
  <c r="A72" i="17" l="1"/>
  <c r="R70" i="17"/>
  <c r="R72" i="17" l="1"/>
  <c r="A73" i="17"/>
  <c r="A74" i="17" l="1"/>
  <c r="R73" i="17"/>
  <c r="R74" i="17" l="1"/>
  <c r="A75" i="17"/>
  <c r="A76" i="17" l="1"/>
  <c r="R75" i="17"/>
  <c r="R76" i="17" l="1"/>
  <c r="A77" i="17"/>
  <c r="A78" i="17" s="1"/>
  <c r="A79" i="17" l="1"/>
  <c r="R78" i="17"/>
  <c r="R79" i="17" l="1"/>
  <c r="A80" i="17"/>
  <c r="A81" i="17" l="1"/>
  <c r="R80" i="17"/>
  <c r="R81" i="17" l="1"/>
  <c r="A82" i="17"/>
  <c r="R82" i="17" l="1"/>
  <c r="A83" i="17"/>
  <c r="A84" i="17" s="1"/>
  <c r="A85" i="17" l="1"/>
  <c r="R84" i="17"/>
  <c r="R85" i="17" l="1"/>
  <c r="A86" i="17"/>
  <c r="A87" i="17" l="1"/>
  <c r="R86" i="17"/>
  <c r="R87" i="17" l="1"/>
  <c r="A88" i="17"/>
  <c r="R88" i="17" l="1"/>
  <c r="A89" i="17"/>
  <c r="R89" i="17" l="1"/>
  <c r="A90" i="17"/>
  <c r="A91" i="17" l="1"/>
  <c r="R90" i="17"/>
  <c r="A92" i="17" l="1"/>
  <c r="R91" i="17"/>
  <c r="A93" i="17" l="1"/>
  <c r="R92" i="17"/>
  <c r="A94" i="17" l="1"/>
  <c r="R93" i="17"/>
  <c r="A95" i="17" l="1"/>
  <c r="R94" i="17"/>
  <c r="R95" i="17" l="1"/>
  <c r="A96" i="17"/>
  <c r="A97" i="17" l="1"/>
  <c r="R96" i="17"/>
  <c r="A98" i="17" l="1"/>
  <c r="R97" i="17"/>
  <c r="A99" i="17" l="1"/>
  <c r="R98" i="17"/>
  <c r="A100" i="17" l="1"/>
  <c r="R99" i="17"/>
  <c r="A101" i="17" l="1"/>
  <c r="R100" i="17"/>
  <c r="A102" i="17" l="1"/>
  <c r="R101" i="17"/>
  <c r="A103" i="17" l="1"/>
  <c r="R102" i="17"/>
  <c r="A104" i="17" l="1"/>
  <c r="R103" i="17"/>
  <c r="A105" i="17" l="1"/>
  <c r="R104" i="17"/>
  <c r="A106" i="17" l="1"/>
  <c r="R105" i="17"/>
  <c r="A107" i="17" l="1"/>
  <c r="R106" i="17"/>
  <c r="A108" i="17" l="1"/>
  <c r="R107" i="17"/>
  <c r="A109" i="17" l="1"/>
  <c r="R108" i="17"/>
  <c r="A110" i="17" l="1"/>
  <c r="R109" i="17"/>
  <c r="A111" i="17" l="1"/>
  <c r="R110" i="17"/>
  <c r="A112" i="17" l="1"/>
  <c r="R111" i="17"/>
  <c r="A113" i="17" l="1"/>
  <c r="R112" i="17"/>
  <c r="A114" i="17" l="1"/>
  <c r="R113" i="17"/>
  <c r="A115" i="17" l="1"/>
  <c r="R114" i="17"/>
  <c r="A116" i="17" l="1"/>
  <c r="R115" i="17"/>
  <c r="A117" i="17" l="1"/>
  <c r="R116" i="17"/>
  <c r="A118" i="17" l="1"/>
  <c r="R117" i="17"/>
  <c r="A119" i="17" l="1"/>
  <c r="R118" i="17"/>
  <c r="A120" i="17" l="1"/>
  <c r="R119" i="17"/>
  <c r="A121" i="17" l="1"/>
  <c r="R120" i="17"/>
  <c r="A122" i="17" l="1"/>
  <c r="R121" i="17"/>
  <c r="A123" i="17" l="1"/>
  <c r="R122" i="17"/>
  <c r="A124" i="17" l="1"/>
  <c r="R123" i="17"/>
  <c r="A125" i="17" l="1"/>
  <c r="R124" i="17"/>
  <c r="A126" i="17" l="1"/>
  <c r="R125" i="17"/>
  <c r="A127" i="17" l="1"/>
  <c r="R126" i="17"/>
  <c r="A128" i="17" l="1"/>
  <c r="R127" i="17"/>
  <c r="A129" i="17" l="1"/>
  <c r="R128" i="17"/>
  <c r="A130" i="17" l="1"/>
  <c r="R129" i="17"/>
  <c r="A131" i="17" l="1"/>
  <c r="R130" i="17"/>
  <c r="A132" i="17" l="1"/>
  <c r="R131" i="17"/>
  <c r="A133" i="17" l="1"/>
  <c r="R132" i="17"/>
  <c r="A134" i="17" l="1"/>
  <c r="R133" i="17"/>
  <c r="A135" i="17" l="1"/>
  <c r="R134" i="17"/>
  <c r="A136" i="17" l="1"/>
  <c r="R135" i="17"/>
  <c r="A137" i="17" l="1"/>
  <c r="R136" i="17"/>
  <c r="A138" i="17" l="1"/>
  <c r="R137" i="17"/>
  <c r="A139" i="17" l="1"/>
  <c r="R138" i="17"/>
  <c r="A140" i="17" l="1"/>
  <c r="R139" i="17"/>
  <c r="A141" i="17" l="1"/>
  <c r="R140" i="17"/>
  <c r="A142" i="17" l="1"/>
  <c r="R141" i="17"/>
  <c r="A143" i="17" l="1"/>
  <c r="R142" i="17"/>
  <c r="A144" i="17" l="1"/>
  <c r="R143" i="17"/>
  <c r="A145" i="17" l="1"/>
  <c r="R144" i="17"/>
  <c r="A146" i="17" l="1"/>
  <c r="R145" i="17"/>
  <c r="A147" i="17" l="1"/>
  <c r="R146" i="17"/>
  <c r="A148" i="17" l="1"/>
  <c r="R147" i="17"/>
  <c r="A149" i="17" l="1"/>
  <c r="R148" i="17"/>
  <c r="A150" i="17" l="1"/>
  <c r="R149" i="17"/>
  <c r="A151" i="17" l="1"/>
  <c r="R150" i="17"/>
  <c r="A152" i="17" l="1"/>
  <c r="R151" i="17"/>
  <c r="A153" i="17" l="1"/>
  <c r="R152" i="17"/>
  <c r="A154" i="17" l="1"/>
  <c r="R153" i="17"/>
  <c r="R154" i="17" l="1"/>
  <c r="A155" i="17"/>
  <c r="R155" i="17" l="1"/>
  <c r="A156" i="17"/>
  <c r="R156" i="17" l="1"/>
  <c r="A157" i="17"/>
  <c r="A158" i="17" l="1"/>
  <c r="R157" i="17"/>
  <c r="A159" i="17" l="1"/>
  <c r="R158" i="17"/>
  <c r="R159" i="17" l="1"/>
  <c r="A160" i="17"/>
  <c r="R160" i="17" l="1"/>
  <c r="A161" i="17"/>
  <c r="A162" i="17" l="1"/>
  <c r="R161" i="17"/>
  <c r="A163" i="17" l="1"/>
  <c r="R162" i="17"/>
  <c r="R163" i="17" l="1"/>
  <c r="A164" i="17"/>
  <c r="R164" i="17" l="1"/>
  <c r="A165" i="17"/>
  <c r="A166" i="17" l="1"/>
  <c r="R165" i="17"/>
  <c r="A167" i="17" l="1"/>
  <c r="R166" i="17"/>
  <c r="R167" i="17" l="1"/>
  <c r="A168" i="17"/>
  <c r="A169" i="17" l="1"/>
  <c r="R168" i="17"/>
  <c r="A170" i="17" l="1"/>
  <c r="R169" i="17"/>
  <c r="R170" i="17" l="1"/>
  <c r="A171" i="17"/>
  <c r="R171" i="17" l="1"/>
  <c r="A172" i="17"/>
  <c r="A173" i="17" l="1"/>
  <c r="R172" i="17"/>
  <c r="A174" i="17" l="1"/>
  <c r="R173" i="17"/>
  <c r="R174" i="17" l="1"/>
  <c r="A175" i="17"/>
  <c r="R175" i="17" l="1"/>
  <c r="A176" i="17"/>
  <c r="A177" i="17" l="1"/>
  <c r="R176" i="17"/>
  <c r="A178" i="17" l="1"/>
  <c r="R177" i="17"/>
  <c r="R178" i="17" l="1"/>
  <c r="A179" i="17"/>
  <c r="R179" i="17" l="1"/>
  <c r="A180" i="17"/>
  <c r="A181" i="17" l="1"/>
  <c r="R180" i="17"/>
  <c r="A182" i="17" l="1"/>
  <c r="R181" i="17"/>
  <c r="R182" i="17" l="1"/>
  <c r="A183" i="17"/>
  <c r="R183" i="17" l="1"/>
  <c r="A184" i="17"/>
  <c r="A185" i="17" l="1"/>
  <c r="R184" i="17"/>
  <c r="A186" i="17" l="1"/>
  <c r="R185" i="17"/>
  <c r="R186" i="17" l="1"/>
  <c r="A187" i="17"/>
  <c r="R187" i="17" l="1"/>
  <c r="A188" i="17"/>
  <c r="A189" i="17" l="1"/>
  <c r="R188" i="17"/>
  <c r="A190" i="17" l="1"/>
  <c r="R189" i="17"/>
  <c r="A191" i="17" l="1"/>
  <c r="R190" i="17"/>
  <c r="A192" i="17" l="1"/>
  <c r="R191" i="17"/>
  <c r="A193" i="17" l="1"/>
  <c r="R192" i="17"/>
  <c r="R193" i="17" l="1"/>
  <c r="A194" i="17"/>
  <c r="R194" i="17" l="1"/>
  <c r="A195" i="17"/>
  <c r="R195" i="17" l="1"/>
  <c r="A196" i="17"/>
  <c r="A197" i="17" l="1"/>
  <c r="R196" i="17"/>
  <c r="A198" i="17" l="1"/>
  <c r="R197" i="17"/>
  <c r="R198" i="17" l="1"/>
  <c r="A199" i="17"/>
  <c r="A200" i="17" l="1"/>
  <c r="R199" i="17"/>
  <c r="R200" i="17" l="1"/>
  <c r="A201" i="17"/>
  <c r="A202" i="17" l="1"/>
  <c r="R201" i="17"/>
  <c r="R202" i="17" l="1"/>
  <c r="A203" i="17"/>
  <c r="A204" i="17" l="1"/>
  <c r="R203" i="17"/>
  <c r="R204" i="17" l="1"/>
  <c r="A205" i="17"/>
  <c r="A206" i="17" l="1"/>
  <c r="R205" i="17"/>
  <c r="A207" i="17" l="1"/>
  <c r="R206" i="17"/>
  <c r="A208" i="17" l="1"/>
  <c r="R207" i="17"/>
  <c r="R208" i="17" l="1"/>
  <c r="A209" i="17"/>
  <c r="A210" i="17" l="1"/>
  <c r="R209" i="17"/>
  <c r="A211" i="17" l="1"/>
  <c r="R210" i="17"/>
  <c r="A212" i="17" l="1"/>
  <c r="R211" i="17"/>
  <c r="R212" i="17" l="1"/>
  <c r="A213" i="17"/>
  <c r="R213" i="17" s="1"/>
  <c r="G5" i="21" l="1"/>
  <c r="H6" i="16" l="1"/>
  <c r="H9" i="16" s="1"/>
  <c r="I6" i="16"/>
  <c r="I9" i="16" s="1"/>
  <c r="J6" i="16" l="1"/>
  <c r="J9" i="16" s="1"/>
  <c r="K6" i="16" l="1"/>
  <c r="K9" i="16" s="1"/>
  <c r="L6" i="16" l="1"/>
  <c r="L9" i="16" s="1"/>
  <c r="G32" i="16" l="1"/>
  <c r="G38" i="16" s="1"/>
  <c r="G26" i="16" l="1"/>
  <c r="H26" i="16" s="1"/>
  <c r="I26" i="16" s="1"/>
  <c r="G29" i="16" l="1"/>
  <c r="H29" i="16"/>
  <c r="C39" i="13"/>
  <c r="C43" i="13" s="1"/>
  <c r="B46" i="13" s="1"/>
  <c r="B47" i="13" s="1"/>
  <c r="I29" i="16"/>
  <c r="J26" i="16"/>
  <c r="J29" i="16" l="1"/>
  <c r="K26" i="16"/>
  <c r="L26" i="16" l="1"/>
  <c r="L29" i="16" s="1"/>
  <c r="K29" i="16"/>
  <c r="N8" i="12" l="1"/>
  <c r="G21" i="16" l="1"/>
  <c r="G23" i="16" s="1"/>
  <c r="L11" i="17"/>
  <c r="M11" i="17" s="1"/>
  <c r="N11" i="17" s="1"/>
  <c r="O11" i="17" s="1"/>
  <c r="P11" i="17" s="1"/>
  <c r="Q11" i="17" s="1"/>
  <c r="F21" i="16" l="1"/>
  <c r="F23" i="16" s="1"/>
  <c r="F15" i="16" s="1"/>
  <c r="G40" i="16"/>
  <c r="H21" i="16"/>
  <c r="G15" i="16" l="1"/>
  <c r="F40" i="16"/>
  <c r="F51" i="16" s="1"/>
  <c r="F63" i="16" s="1"/>
  <c r="F65" i="16" s="1"/>
  <c r="G14" i="16" s="1"/>
  <c r="G49" i="16"/>
  <c r="G51" i="16"/>
  <c r="G63" i="16" s="1"/>
  <c r="H23" i="16"/>
  <c r="I21" i="16"/>
  <c r="F49" i="16" l="1"/>
  <c r="G1" i="21" s="1"/>
  <c r="G65" i="16"/>
  <c r="H14" i="16" s="1"/>
  <c r="H11" i="16" s="1"/>
  <c r="J21" i="16"/>
  <c r="I23" i="16"/>
  <c r="H15" i="16"/>
  <c r="H5" i="21"/>
  <c r="G8" i="16"/>
  <c r="G11" i="16"/>
  <c r="G4" i="16"/>
  <c r="H1" i="21"/>
  <c r="F4" i="16" l="1"/>
  <c r="I5" i="21"/>
  <c r="H8" i="16"/>
  <c r="H32" i="16"/>
  <c r="H38" i="16" s="1"/>
  <c r="H40" i="16" s="1"/>
  <c r="H49" i="16" s="1"/>
  <c r="I15" i="16"/>
  <c r="J23" i="16"/>
  <c r="K21" i="16"/>
  <c r="H51" i="16" l="1"/>
  <c r="H63" i="16" s="1"/>
  <c r="H65" i="16" s="1"/>
  <c r="I14" i="16" s="1"/>
  <c r="I8" i="16" s="1"/>
  <c r="J15" i="16"/>
  <c r="H4" i="16"/>
  <c r="I1" i="21"/>
  <c r="K23" i="16"/>
  <c r="L21" i="16"/>
  <c r="L23" i="16" s="1"/>
  <c r="I11" i="16" l="1"/>
  <c r="J5" i="21"/>
  <c r="I32" i="16"/>
  <c r="I38" i="16" s="1"/>
  <c r="I40" i="16" s="1"/>
  <c r="I51" i="16" s="1"/>
  <c r="I63" i="16" s="1"/>
  <c r="I65" i="16" s="1"/>
  <c r="J14" i="16" s="1"/>
  <c r="L15" i="16"/>
  <c r="K15" i="16"/>
  <c r="I49" i="16" l="1"/>
  <c r="J8" i="16"/>
  <c r="J32" i="16"/>
  <c r="J38" i="16" s="1"/>
  <c r="J40" i="16" s="1"/>
  <c r="K5" i="21"/>
  <c r="J11" i="16"/>
  <c r="I4" i="16"/>
  <c r="J1" i="21"/>
  <c r="J49" i="16" l="1"/>
  <c r="J51" i="16"/>
  <c r="J63" i="16" s="1"/>
  <c r="J65" i="16" s="1"/>
  <c r="K14" i="16" s="1"/>
  <c r="K32" i="16" l="1"/>
  <c r="K38" i="16" s="1"/>
  <c r="K40" i="16" s="1"/>
  <c r="K11" i="16"/>
  <c r="L5" i="21"/>
  <c r="K8" i="16"/>
  <c r="K1" i="21"/>
  <c r="J4" i="16"/>
  <c r="K49" i="16" l="1"/>
  <c r="K51" i="16"/>
  <c r="K63" i="16" s="1"/>
  <c r="K65" i="16" s="1"/>
  <c r="L14" i="16" s="1"/>
  <c r="L11" i="16" l="1"/>
  <c r="M5" i="21"/>
  <c r="L8" i="16"/>
  <c r="L32" i="16"/>
  <c r="L38" i="16" s="1"/>
  <c r="L40" i="16" s="1"/>
  <c r="K4" i="16"/>
  <c r="L1" i="21"/>
  <c r="L49" i="16" l="1"/>
  <c r="L4" i="16" s="1"/>
  <c r="L51" i="16"/>
  <c r="L63" i="16" s="1"/>
  <c r="L65" i="16" s="1"/>
  <c r="D21" i="28"/>
  <c r="C26" i="28"/>
  <c r="D27" i="28" l="1"/>
  <c r="C4" i="28"/>
  <c r="E21" i="28"/>
  <c r="E4" i="28" l="1"/>
  <c r="E9" i="28" s="1"/>
  <c r="D4" i="28"/>
  <c r="D9" i="28" l="1"/>
  <c r="F4" i="28"/>
  <c r="K4" i="28" l="1"/>
  <c r="K9" i="28" s="1"/>
  <c r="L4" i="28"/>
  <c r="L9" i="28" s="1"/>
  <c r="F9" i="28"/>
  <c r="G4" i="28"/>
  <c r="J4" i="28"/>
  <c r="J9" i="28" s="1"/>
  <c r="I4" i="28"/>
  <c r="I9" i="28" s="1"/>
  <c r="M4" i="28" l="1"/>
  <c r="M9" i="28" s="1"/>
  <c r="N9" i="28" s="1"/>
  <c r="G9" i="28"/>
  <c r="D63" i="4"/>
  <c r="D64" i="4" s="1"/>
  <c r="D7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Millis</author>
  </authors>
  <commentList>
    <comment ref="B45" authorId="0" shapeId="0" xr:uid="{D021F2A7-2B65-40AD-9D98-BE41F2DB8D5F}">
      <text>
        <r>
          <rPr>
            <b/>
            <sz val="9"/>
            <color indexed="81"/>
            <rFont val="Tahoma"/>
            <family val="2"/>
          </rPr>
          <t>Matthew Millis:</t>
        </r>
        <r>
          <rPr>
            <sz val="9"/>
            <color indexed="81"/>
            <rFont val="Tahoma"/>
            <family val="2"/>
          </rPr>
          <t xml:space="preserve">
ask Duane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8" authorId="0" shapeId="0" xr:uid="{9CF40E24-98CC-45C2-B86C-9AE2DFE015B3}">
      <text>
        <r>
          <rPr>
            <b/>
            <sz val="9"/>
            <color indexed="81"/>
            <rFont val="Tahoma"/>
            <family val="2"/>
          </rPr>
          <t>User:</t>
        </r>
        <r>
          <rPr>
            <sz val="9"/>
            <color indexed="81"/>
            <rFont val="Tahoma"/>
            <family val="2"/>
          </rPr>
          <t xml:space="preserve">
This is due to new connections to the water system. Each new connection pays $24.50 per month when connected.</t>
        </r>
      </text>
    </comment>
    <comment ref="H18" authorId="0" shapeId="0" xr:uid="{56FDFB98-3731-4F18-B1B3-CED5465DA04A}">
      <text>
        <r>
          <rPr>
            <b/>
            <sz val="9"/>
            <color indexed="81"/>
            <rFont val="Tahoma"/>
            <family val="2"/>
          </rPr>
          <t>User:</t>
        </r>
        <r>
          <rPr>
            <sz val="9"/>
            <color indexed="81"/>
            <rFont val="Tahoma"/>
            <family val="2"/>
          </rPr>
          <t xml:space="preserve">
3% is the average increase for the past 7 years</t>
        </r>
      </text>
    </comment>
    <comment ref="J18" authorId="0" shapeId="0" xr:uid="{36A39611-13C3-46F9-9A83-184DE0CBBC62}">
      <text>
        <r>
          <rPr>
            <b/>
            <sz val="9"/>
            <color indexed="81"/>
            <rFont val="Tahoma"/>
            <family val="2"/>
          </rPr>
          <t>User:</t>
        </r>
        <r>
          <rPr>
            <sz val="9"/>
            <color indexed="81"/>
            <rFont val="Tahoma"/>
            <family val="2"/>
          </rPr>
          <t xml:space="preserve">
3% increase in cash is the average for the past 7 years</t>
        </r>
      </text>
    </comment>
    <comment ref="K18" authorId="0" shapeId="0" xr:uid="{3DAC4B19-B819-4961-A7AE-DEBA9348961C}">
      <text>
        <r>
          <rPr>
            <b/>
            <sz val="9"/>
            <color indexed="81"/>
            <rFont val="Tahoma"/>
            <family val="2"/>
          </rPr>
          <t>User:</t>
        </r>
        <r>
          <rPr>
            <sz val="9"/>
            <color indexed="81"/>
            <rFont val="Tahoma"/>
            <family val="2"/>
          </rPr>
          <t xml:space="preserve">
3% increase is the average cash increase for the past 7 years
</t>
        </r>
      </text>
    </comment>
    <comment ref="L18" authorId="0" shapeId="0" xr:uid="{5235C29E-9BE0-4C7B-8F93-969A21EA7A75}">
      <text>
        <r>
          <rPr>
            <b/>
            <sz val="9"/>
            <color indexed="81"/>
            <rFont val="Tahoma"/>
            <family val="2"/>
          </rPr>
          <t>User:</t>
        </r>
        <r>
          <rPr>
            <sz val="9"/>
            <color indexed="81"/>
            <rFont val="Tahoma"/>
            <family val="2"/>
          </rPr>
          <t xml:space="preserve">
3% is the average cash increase over the past 7 years.</t>
        </r>
      </text>
    </comment>
    <comment ref="F19" authorId="0" shapeId="0" xr:uid="{4007B557-7F70-41F6-9FA1-601373278F87}">
      <text>
        <r>
          <rPr>
            <b/>
            <sz val="9"/>
            <color indexed="81"/>
            <rFont val="Tahoma"/>
            <family val="2"/>
          </rPr>
          <t>User:</t>
        </r>
        <r>
          <rPr>
            <sz val="9"/>
            <color indexed="81"/>
            <rFont val="Tahoma"/>
            <family val="2"/>
          </rPr>
          <t xml:space="preserve">
This Decrease is due to combined lots loosing the $15 monthly fee</t>
        </r>
      </text>
    </comment>
    <comment ref="H21" authorId="0" shapeId="0" xr:uid="{AE9B305B-4860-40C4-8916-7483A8234493}">
      <text>
        <r>
          <rPr>
            <b/>
            <sz val="9"/>
            <color indexed="81"/>
            <rFont val="Tahoma"/>
            <family val="2"/>
          </rPr>
          <t>User:</t>
        </r>
        <r>
          <rPr>
            <sz val="9"/>
            <color indexed="81"/>
            <rFont val="Tahoma"/>
            <family val="2"/>
          </rPr>
          <t xml:space="preserve">
This dollar amount increased by an average of 5% over the past 7 years</t>
        </r>
      </text>
    </comment>
    <comment ref="I21" authorId="0" shapeId="0" xr:uid="{E97074D2-487A-4778-8D4D-EF87F262D543}">
      <text>
        <r>
          <rPr>
            <b/>
            <sz val="9"/>
            <color indexed="81"/>
            <rFont val="Tahoma"/>
            <family val="2"/>
          </rPr>
          <t>User:</t>
        </r>
        <r>
          <rPr>
            <sz val="9"/>
            <color indexed="81"/>
            <rFont val="Tahoma"/>
            <family val="2"/>
          </rPr>
          <t xml:space="preserve">
This dollar amount increased an average of 5% over the past 7 years
</t>
        </r>
      </text>
    </comment>
    <comment ref="J21" authorId="0" shapeId="0" xr:uid="{84751C37-08E1-4594-A3EA-EFF3BE11D660}">
      <text>
        <r>
          <rPr>
            <b/>
            <sz val="9"/>
            <color indexed="81"/>
            <rFont val="Tahoma"/>
            <family val="2"/>
          </rPr>
          <t>User:</t>
        </r>
        <r>
          <rPr>
            <sz val="9"/>
            <color indexed="81"/>
            <rFont val="Tahoma"/>
            <family val="2"/>
          </rPr>
          <t xml:space="preserve">
This dollar amount increased an average of 5% over the past 7 years</t>
        </r>
      </text>
    </comment>
    <comment ref="K21" authorId="0" shapeId="0" xr:uid="{288505CD-8002-405F-8261-67835F162E67}">
      <text>
        <r>
          <rPr>
            <b/>
            <sz val="9"/>
            <color indexed="81"/>
            <rFont val="Tahoma"/>
            <family val="2"/>
          </rPr>
          <t>User:</t>
        </r>
        <r>
          <rPr>
            <sz val="9"/>
            <color indexed="81"/>
            <rFont val="Tahoma"/>
            <family val="2"/>
          </rPr>
          <t xml:space="preserve">
This dollar amount increased by an average of 5 % over the past 7 years</t>
        </r>
      </text>
    </comment>
    <comment ref="L21" authorId="0" shapeId="0" xr:uid="{25D3F329-09F3-4340-A7EA-8FCB948D0EC8}">
      <text>
        <r>
          <rPr>
            <b/>
            <sz val="9"/>
            <color indexed="81"/>
            <rFont val="Tahoma"/>
            <family val="2"/>
          </rPr>
          <t>User:</t>
        </r>
        <r>
          <rPr>
            <sz val="9"/>
            <color indexed="81"/>
            <rFont val="Tahoma"/>
            <family val="2"/>
          </rPr>
          <t xml:space="preserve">
This dollar amount increased by an average of 5% over the past 7 years.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8" authorId="0" shapeId="0" xr:uid="{8DC689A4-A8C8-410A-96DE-9ED111F7B659}">
      <text>
        <r>
          <rPr>
            <b/>
            <sz val="9"/>
            <color indexed="81"/>
            <rFont val="Tahoma"/>
            <family val="2"/>
          </rPr>
          <t>User:</t>
        </r>
        <r>
          <rPr>
            <sz val="9"/>
            <color indexed="81"/>
            <rFont val="Tahoma"/>
            <family val="2"/>
          </rPr>
          <t xml:space="preserve">
This includes $6118 for worker's comp and $10,400 for on call pay </t>
        </r>
      </text>
    </comment>
    <comment ref="C14" authorId="0" shapeId="0" xr:uid="{2AA9655C-36BA-44D4-BA52-9379418C2BBF}">
      <text>
        <r>
          <rPr>
            <b/>
            <sz val="9"/>
            <color indexed="81"/>
            <rFont val="Tahoma"/>
            <family val="2"/>
          </rPr>
          <t>User:</t>
        </r>
        <r>
          <rPr>
            <sz val="9"/>
            <color indexed="81"/>
            <rFont val="Tahoma"/>
            <family val="2"/>
          </rPr>
          <t xml:space="preserve">
This is a 1.66% Increase</t>
        </r>
      </text>
    </comment>
    <comment ref="C15" authorId="0" shapeId="0" xr:uid="{9DA141C6-3ED6-41E6-A2AB-83C5CAF4D103}">
      <text>
        <r>
          <rPr>
            <b/>
            <sz val="9"/>
            <color indexed="81"/>
            <rFont val="Tahoma"/>
            <family val="2"/>
          </rPr>
          <t>User:</t>
        </r>
        <r>
          <rPr>
            <sz val="9"/>
            <color indexed="81"/>
            <rFont val="Tahoma"/>
            <family val="2"/>
          </rPr>
          <t xml:space="preserve">
This is a 1.66% Increase</t>
        </r>
      </text>
    </comment>
    <comment ref="C17" authorId="0" shapeId="0" xr:uid="{057D240A-9B54-4E30-92C4-701F1C9ED3D9}">
      <text>
        <r>
          <rPr>
            <b/>
            <sz val="9"/>
            <color indexed="81"/>
            <rFont val="Tahoma"/>
            <family val="2"/>
          </rPr>
          <t>User:</t>
        </r>
        <r>
          <rPr>
            <sz val="9"/>
            <color indexed="81"/>
            <rFont val="Tahoma"/>
            <family val="2"/>
          </rPr>
          <t xml:space="preserve">
This is a 1.66% Increase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Timberlakes</author>
  </authors>
  <commentList>
    <comment ref="D17" authorId="0" shapeId="0" xr:uid="{CD14AE74-9C2E-4976-9BB3-DC6A3D609354}">
      <text>
        <r>
          <rPr>
            <b/>
            <sz val="9"/>
            <color indexed="81"/>
            <rFont val="Tahoma"/>
            <family val="2"/>
          </rPr>
          <t>User:</t>
        </r>
        <r>
          <rPr>
            <sz val="9"/>
            <color indexed="81"/>
            <rFont val="Tahoma"/>
            <family val="2"/>
          </rPr>
          <t xml:space="preserve">
2015:$18,908
2016: $15,319
2017: $13,375
2018: $16,826</t>
        </r>
      </text>
    </comment>
    <comment ref="D31" authorId="0" shapeId="0" xr:uid="{8401CB04-7915-49CB-8223-C4AA0C163451}">
      <text>
        <r>
          <rPr>
            <b/>
            <sz val="9"/>
            <color indexed="81"/>
            <rFont val="Tahoma"/>
            <family val="2"/>
          </rPr>
          <t>User:</t>
        </r>
        <r>
          <rPr>
            <sz val="9"/>
            <color indexed="81"/>
            <rFont val="Tahoma"/>
            <family val="2"/>
          </rPr>
          <t xml:space="preserve">
This is the building insurance we purchase through the HOA</t>
        </r>
      </text>
    </comment>
    <comment ref="C35" authorId="1" shapeId="0" xr:uid="{97D427ED-280E-4166-B2F6-AA6992D42EC4}">
      <text>
        <r>
          <rPr>
            <b/>
            <sz val="9"/>
            <color indexed="81"/>
            <rFont val="Tahoma"/>
            <family val="2"/>
          </rPr>
          <t>Timberlakes:</t>
        </r>
        <r>
          <rPr>
            <sz val="9"/>
            <color indexed="81"/>
            <rFont val="Tahoma"/>
            <family val="2"/>
          </rPr>
          <t xml:space="preserve">
None of the field staff has used the clothing allowance this year. So this amount will go up significantly before the year is over.</t>
        </r>
      </text>
    </comment>
    <comment ref="C43" authorId="1" shapeId="0" xr:uid="{9C6DC832-E11D-4B27-8C65-6040A2ECE135}">
      <text>
        <r>
          <rPr>
            <b/>
            <sz val="9"/>
            <color indexed="81"/>
            <rFont val="Tahoma"/>
            <family val="2"/>
          </rPr>
          <t>Timberlakes:</t>
        </r>
        <r>
          <rPr>
            <sz val="9"/>
            <color indexed="81"/>
            <rFont val="Tahoma"/>
            <family val="2"/>
          </rPr>
          <t xml:space="preserve">
This includes both backhoes. One at $21,000 and the other at $24,000.</t>
        </r>
      </text>
    </comment>
    <comment ref="C44" authorId="1" shapeId="0" xr:uid="{CD5BBE07-EAAD-4CAE-9AE6-547CB567EFF7}">
      <text>
        <r>
          <rPr>
            <b/>
            <sz val="9"/>
            <color indexed="81"/>
            <rFont val="Tahoma"/>
            <family val="2"/>
          </rPr>
          <t>Timberlakes:</t>
        </r>
        <r>
          <rPr>
            <sz val="9"/>
            <color indexed="81"/>
            <rFont val="Tahoma"/>
            <family val="2"/>
          </rPr>
          <t xml:space="preserve">
Three moves at $300 per move for the excavator.</t>
        </r>
      </text>
    </comment>
    <comment ref="B80" authorId="0" shapeId="0" xr:uid="{B18A26F4-3F38-410E-B819-02E793927E89}">
      <text>
        <r>
          <rPr>
            <b/>
            <sz val="9"/>
            <color indexed="81"/>
            <rFont val="Tahoma"/>
            <family val="2"/>
          </rPr>
          <t>User:</t>
        </r>
        <r>
          <rPr>
            <sz val="9"/>
            <color indexed="81"/>
            <rFont val="Tahoma"/>
            <family val="2"/>
          </rPr>
          <t xml:space="preserve">
This is reduced from 1485 to 1470 due to lot combinations in 2017 and to 1460 in 2018</t>
        </r>
      </text>
    </comment>
    <comment ref="C106" authorId="1" shapeId="0" xr:uid="{D96E9E3E-A20E-4DCC-971F-D4A34D9D8ED8}">
      <text>
        <r>
          <rPr>
            <b/>
            <sz val="9"/>
            <color indexed="81"/>
            <rFont val="Tahoma"/>
            <family val="2"/>
          </rPr>
          <t>Timberlakes:</t>
        </r>
        <r>
          <rPr>
            <sz val="9"/>
            <color indexed="81"/>
            <rFont val="Tahoma"/>
            <family val="2"/>
          </rPr>
          <t xml:space="preserve">
Forecasted Amount
</t>
        </r>
      </text>
    </comment>
    <comment ref="B107" authorId="0" shapeId="0" xr:uid="{374125F2-0327-4BB7-9F5B-287D65D704FF}">
      <text>
        <r>
          <rPr>
            <b/>
            <sz val="9"/>
            <color indexed="81"/>
            <rFont val="Tahoma"/>
            <family val="2"/>
          </rPr>
          <t>User:</t>
        </r>
        <r>
          <rPr>
            <sz val="9"/>
            <color indexed="81"/>
            <rFont val="Tahoma"/>
            <family val="2"/>
          </rPr>
          <t xml:space="preserve">
2017-874 Customers
2018-892
2019-901
2020-917
2021-940
</t>
        </r>
      </text>
    </comment>
    <comment ref="B109" authorId="1" shapeId="0" xr:uid="{5030CDF4-8E2C-4CC8-BF95-256C2F65FC89}">
      <text>
        <r>
          <rPr>
            <b/>
            <sz val="9"/>
            <color indexed="81"/>
            <rFont val="Tahoma"/>
            <family val="2"/>
          </rPr>
          <t>Timberlakes:</t>
        </r>
        <r>
          <rPr>
            <sz val="9"/>
            <color indexed="81"/>
            <rFont val="Tahoma"/>
            <family val="2"/>
          </rPr>
          <t xml:space="preserve">
Reduced from 1448 to 1423
 due to lot combinations</t>
        </r>
      </text>
    </comment>
    <comment ref="B110" authorId="1" shapeId="0" xr:uid="{56B622FF-B06A-4A75-ACF3-7465B2DE8F74}">
      <text>
        <r>
          <rPr>
            <b/>
            <sz val="9"/>
            <color indexed="81"/>
            <rFont val="Tahoma"/>
            <family val="2"/>
          </rPr>
          <t>Timberlakes:</t>
        </r>
        <r>
          <rPr>
            <sz val="9"/>
            <color indexed="81"/>
            <rFont val="Tahoma"/>
            <family val="2"/>
          </rPr>
          <t xml:space="preserve">
137 Customers pre-paid leaving 965 </t>
        </r>
      </text>
    </comment>
    <comment ref="C110" authorId="1" shapeId="0" xr:uid="{A5AF8E7E-5CFE-47EE-A2B4-8B4FAFFE7052}">
      <text>
        <r>
          <rPr>
            <b/>
            <sz val="9"/>
            <color indexed="81"/>
            <rFont val="Tahoma"/>
            <family val="2"/>
          </rPr>
          <t>Timberlakes:</t>
        </r>
        <r>
          <rPr>
            <sz val="9"/>
            <color indexed="81"/>
            <rFont val="Tahoma"/>
            <family val="2"/>
          </rPr>
          <t xml:space="preserve">
137 pre-paid-went from 1102 to 965; $41-$31.11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7" authorId="0" shapeId="0" xr:uid="{00000000-0006-0000-0000-00000C000000}">
      <text>
        <r>
          <rPr>
            <b/>
            <sz val="9"/>
            <color indexed="81"/>
            <rFont val="Tahoma"/>
            <family val="2"/>
          </rPr>
          <t>User:</t>
        </r>
        <r>
          <rPr>
            <sz val="9"/>
            <color indexed="81"/>
            <rFont val="Tahoma"/>
            <family val="2"/>
          </rPr>
          <t xml:space="preserve">
The audit is $6,900; other costs are audit prep and month end tabulations. This amount imay seem high but we have significant accounting work for year end audit prep.</t>
        </r>
      </text>
    </comment>
    <comment ref="C18" authorId="0" shapeId="0" xr:uid="{00000000-0006-0000-0000-00000E000000}">
      <text>
        <r>
          <rPr>
            <b/>
            <sz val="9"/>
            <color indexed="81"/>
            <rFont val="Tahoma"/>
            <family val="2"/>
          </rPr>
          <t>Most of the advertising is included in attorney fees. The 2018 bill consists of an article in the HOA's Newsletter and one public notice.</t>
        </r>
      </text>
    </comment>
    <comment ref="C25" authorId="0" shapeId="0" xr:uid="{00000000-0006-0000-0000-000012000000}">
      <text>
        <r>
          <rPr>
            <b/>
            <sz val="9"/>
            <color indexed="81"/>
            <rFont val="Tahoma"/>
            <family val="2"/>
          </rPr>
          <t>User:</t>
        </r>
        <r>
          <rPr>
            <sz val="9"/>
            <color indexed="81"/>
            <rFont val="Tahoma"/>
            <family val="2"/>
          </rPr>
          <t xml:space="preserve">
$9,200 of this total goes toward software support. Membership in Rural Water Association, and Utah Association of Special Service Districts is included as well.</t>
        </r>
      </text>
    </comment>
    <comment ref="C28" authorId="0" shapeId="0" xr:uid="{00000000-0006-0000-0000-000015000000}">
      <text>
        <r>
          <rPr>
            <b/>
            <sz val="9"/>
            <color indexed="81"/>
            <rFont val="Tahoma"/>
            <family val="2"/>
          </rPr>
          <t>User:</t>
        </r>
        <r>
          <rPr>
            <sz val="9"/>
            <color indexed="81"/>
            <rFont val="Tahoma"/>
            <family val="2"/>
          </rPr>
          <t xml:space="preserve">
This is reimbursement and mileage for board members.</t>
        </r>
      </text>
    </comment>
    <comment ref="C29" authorId="0" shapeId="0" xr:uid="{00000000-0006-0000-0000-000016000000}">
      <text>
        <r>
          <rPr>
            <b/>
            <sz val="9"/>
            <color indexed="81"/>
            <rFont val="Tahoma"/>
            <family val="2"/>
          </rPr>
          <t>User:</t>
        </r>
        <r>
          <rPr>
            <sz val="9"/>
            <color indexed="81"/>
            <rFont val="Tahoma"/>
            <family val="2"/>
          </rPr>
          <t xml:space="preserve">
pro rated This includes the shop phone and internet, and Power as well as Power for all of the Telemetry sights and Propane.</t>
        </r>
      </text>
    </comment>
    <comment ref="C30" authorId="0" shapeId="0" xr:uid="{00000000-0006-0000-0000-000017000000}">
      <text>
        <r>
          <rPr>
            <b/>
            <sz val="9"/>
            <color indexed="81"/>
            <rFont val="Tahoma"/>
            <family val="2"/>
          </rPr>
          <t>User:</t>
        </r>
        <r>
          <rPr>
            <sz val="9"/>
            <color indexed="81"/>
            <rFont val="Tahoma"/>
            <family val="2"/>
          </rPr>
          <t xml:space="preserve">
This is what we pay the HOA for our part of insurance.</t>
        </r>
      </text>
    </comment>
    <comment ref="C31" authorId="0" shapeId="0" xr:uid="{00000000-0006-0000-0000-000018000000}">
      <text>
        <r>
          <rPr>
            <b/>
            <sz val="9"/>
            <color indexed="81"/>
            <rFont val="Tahoma"/>
            <family val="2"/>
          </rPr>
          <t>User:</t>
        </r>
        <r>
          <rPr>
            <sz val="9"/>
            <color indexed="81"/>
            <rFont val="Tahoma"/>
            <family val="2"/>
          </rPr>
          <t xml:space="preserve">
I added 5% to this to be safe. The number comes from Utah Local Government Trust, but they do not have a firm number to give me yet. </t>
        </r>
      </text>
    </comment>
    <comment ref="C34" authorId="0" shapeId="0" xr:uid="{00000000-0006-0000-0000-000019000000}">
      <text>
        <r>
          <rPr>
            <b/>
            <sz val="9"/>
            <color indexed="81"/>
            <rFont val="Tahoma"/>
            <family val="2"/>
          </rPr>
          <t>User:</t>
        </r>
        <r>
          <rPr>
            <sz val="9"/>
            <color indexed="81"/>
            <rFont val="Tahoma"/>
            <family val="2"/>
          </rPr>
          <t xml:space="preserve">
This is for the employees clothing allowance.</t>
        </r>
      </text>
    </comment>
    <comment ref="C39" authorId="0" shapeId="0" xr:uid="{00000000-0006-0000-0000-00001A000000}">
      <text>
        <r>
          <rPr>
            <b/>
            <sz val="9"/>
            <color indexed="81"/>
            <rFont val="Tahoma"/>
            <family val="2"/>
          </rPr>
          <t>User:</t>
        </r>
        <r>
          <rPr>
            <sz val="9"/>
            <color indexed="81"/>
            <rFont val="Tahoma"/>
            <family val="2"/>
          </rPr>
          <t xml:space="preserve">
The biggest portion of the upper pipeline is already designed. We may or maynot develop a spring or finish the pipeline this year.</t>
        </r>
      </text>
    </comment>
    <comment ref="C40" authorId="0" shapeId="0" xr:uid="{00000000-0006-0000-0000-00001B000000}">
      <text>
        <r>
          <rPr>
            <b/>
            <sz val="9"/>
            <color indexed="81"/>
            <rFont val="Tahoma"/>
            <family val="2"/>
          </rPr>
          <t>User:</t>
        </r>
        <r>
          <rPr>
            <sz val="9"/>
            <color indexed="81"/>
            <rFont val="Tahoma"/>
            <family val="2"/>
          </rPr>
          <t xml:space="preserve">
This is pro-rated and rounded up.</t>
        </r>
      </text>
    </comment>
    <comment ref="C41" authorId="0" shapeId="0" xr:uid="{00000000-0006-0000-0000-00001C000000}">
      <text>
        <r>
          <rPr>
            <b/>
            <sz val="9"/>
            <color indexed="81"/>
            <rFont val="Tahoma"/>
            <family val="2"/>
          </rPr>
          <t>User:</t>
        </r>
        <r>
          <rPr>
            <sz val="9"/>
            <color indexed="81"/>
            <rFont val="Tahoma"/>
            <family val="2"/>
          </rPr>
          <t xml:space="preserve">
Included are the two backhoe rentals and $800 for small rentals that may be needed. 
</t>
        </r>
      </text>
    </comment>
    <comment ref="C42" authorId="0" shapeId="0" xr:uid="{00000000-0006-0000-0000-00001D000000}">
      <text>
        <r>
          <rPr>
            <b/>
            <sz val="9"/>
            <color indexed="81"/>
            <rFont val="Tahoma"/>
            <family val="2"/>
          </rPr>
          <t>User:</t>
        </r>
        <r>
          <rPr>
            <sz val="9"/>
            <color indexed="81"/>
            <rFont val="Tahoma"/>
            <family val="2"/>
          </rPr>
          <t xml:space="preserve">
This is for possible machinery transportation. </t>
        </r>
      </text>
    </comment>
    <comment ref="C43" authorId="0" shapeId="0" xr:uid="{00000000-0006-0000-0000-00001E000000}">
      <text>
        <r>
          <rPr>
            <b/>
            <sz val="9"/>
            <color indexed="81"/>
            <rFont val="Tahoma"/>
            <family val="2"/>
          </rPr>
          <t>User:</t>
        </r>
        <r>
          <rPr>
            <sz val="9"/>
            <color indexed="81"/>
            <rFont val="Tahoma"/>
            <family val="2"/>
          </rPr>
          <t xml:space="preserve">
This is pro-rated and rounded up</t>
        </r>
      </text>
    </comment>
    <comment ref="C44" authorId="0" shapeId="0" xr:uid="{00000000-0006-0000-0000-00001F000000}">
      <text>
        <r>
          <rPr>
            <b/>
            <sz val="9"/>
            <color indexed="81"/>
            <rFont val="Tahoma"/>
            <family val="2"/>
          </rPr>
          <t>User:</t>
        </r>
        <r>
          <rPr>
            <sz val="9"/>
            <color indexed="81"/>
            <rFont val="Tahoma"/>
            <family val="2"/>
          </rPr>
          <t xml:space="preserve">
This is pro-rated and rounded up</t>
        </r>
      </text>
    </comment>
    <comment ref="C52" authorId="0" shapeId="0" xr:uid="{00000000-0006-0000-0000-000021000000}">
      <text>
        <r>
          <rPr>
            <b/>
            <sz val="9"/>
            <color indexed="81"/>
            <rFont val="Tahoma"/>
            <family val="2"/>
          </rPr>
          <t>User:</t>
        </r>
        <r>
          <rPr>
            <sz val="9"/>
            <color indexed="81"/>
            <rFont val="Tahoma"/>
            <family val="2"/>
          </rPr>
          <t xml:space="preserve">
This is in case we need to hire out some of the meter installation to keep up.</t>
        </r>
      </text>
    </comment>
    <comment ref="C54" authorId="0" shapeId="0" xr:uid="{00000000-0006-0000-0000-000022000000}">
      <text>
        <r>
          <rPr>
            <b/>
            <sz val="9"/>
            <color indexed="81"/>
            <rFont val="Tahoma"/>
            <family val="2"/>
          </rPr>
          <t>User:</t>
        </r>
        <r>
          <rPr>
            <sz val="9"/>
            <color indexed="81"/>
            <rFont val="Tahoma"/>
            <family val="2"/>
          </rPr>
          <t xml:space="preserve">
This includes service  and repair for the District's excavator, oil sampling, cutting edges and tires for the two backhoes and any damage that may occur to the machines. It is likely that we will need to replace tires on one or both backhoes.</t>
        </r>
      </text>
    </comment>
    <comment ref="C55" authorId="0" shapeId="0" xr:uid="{00000000-0006-0000-0000-000023000000}">
      <text>
        <r>
          <rPr>
            <b/>
            <sz val="9"/>
            <color indexed="81"/>
            <rFont val="Tahoma"/>
            <family val="2"/>
          </rPr>
          <t>User:</t>
        </r>
        <r>
          <rPr>
            <sz val="9"/>
            <color indexed="81"/>
            <rFont val="Tahoma"/>
            <family val="2"/>
          </rPr>
          <t xml:space="preserve">
This is to take care of pump, saw and misc. repairs and tune ups for small equpment.</t>
        </r>
      </text>
    </comment>
    <comment ref="C56" authorId="0" shapeId="0" xr:uid="{00000000-0006-0000-0000-000024000000}">
      <text>
        <r>
          <rPr>
            <b/>
            <sz val="9"/>
            <color indexed="81"/>
            <rFont val="Tahoma"/>
            <family val="2"/>
          </rPr>
          <t>User:</t>
        </r>
        <r>
          <rPr>
            <sz val="9"/>
            <color indexed="81"/>
            <rFont val="Tahoma"/>
            <family val="2"/>
          </rPr>
          <t xml:space="preserve">
This number seem high but we need to put snow tires on both vehicles this year.</t>
        </r>
      </text>
    </comment>
    <comment ref="C59" authorId="0" shapeId="0" xr:uid="{00000000-0006-0000-0000-000027000000}">
      <text>
        <r>
          <rPr>
            <b/>
            <sz val="9"/>
            <color indexed="81"/>
            <rFont val="Tahoma"/>
            <family val="2"/>
          </rPr>
          <t>User:</t>
        </r>
        <r>
          <rPr>
            <sz val="9"/>
            <color indexed="81"/>
            <rFont val="Tahoma"/>
            <family val="2"/>
          </rPr>
          <t xml:space="preserve">
This includes a new vehicle.</t>
        </r>
      </text>
    </comment>
    <comment ref="C66" authorId="0" shapeId="0" xr:uid="{00000000-0006-0000-0000-000028000000}">
      <text>
        <r>
          <rPr>
            <b/>
            <sz val="9"/>
            <color indexed="81"/>
            <rFont val="Tahoma"/>
            <family val="2"/>
          </rPr>
          <t>User:</t>
        </r>
        <r>
          <rPr>
            <sz val="9"/>
            <color indexed="81"/>
            <rFont val="Tahoma"/>
            <family val="2"/>
          </rPr>
          <t xml:space="preserve">
This is paid off</t>
        </r>
      </text>
    </comment>
    <comment ref="C67" authorId="0" shapeId="0" xr:uid="{00000000-0006-0000-0000-000029000000}">
      <text>
        <r>
          <rPr>
            <b/>
            <sz val="9"/>
            <color indexed="81"/>
            <rFont val="Tahoma"/>
            <family val="2"/>
          </rPr>
          <t>User:</t>
        </r>
        <r>
          <rPr>
            <sz val="9"/>
            <color indexed="81"/>
            <rFont val="Tahoma"/>
            <family val="2"/>
          </rPr>
          <t xml:space="preserve">
See Debt Service 2 Sheet</t>
        </r>
      </text>
    </comment>
    <comment ref="C70" authorId="0" shapeId="0" xr:uid="{00000000-0006-0000-0000-00002A000000}">
      <text>
        <r>
          <rPr>
            <b/>
            <sz val="9"/>
            <color indexed="81"/>
            <rFont val="Tahoma"/>
            <family val="2"/>
          </rPr>
          <t>User:</t>
        </r>
        <r>
          <rPr>
            <sz val="9"/>
            <color indexed="81"/>
            <rFont val="Tahoma"/>
            <family val="2"/>
          </rPr>
          <t xml:space="preserve">
See Debt Service 2 Sheet</t>
        </r>
      </text>
    </comment>
    <comment ref="C71" authorId="0" shapeId="0" xr:uid="{00000000-0006-0000-0000-00002C000000}">
      <text>
        <r>
          <rPr>
            <b/>
            <sz val="9"/>
            <color indexed="81"/>
            <rFont val="Tahoma"/>
            <family val="2"/>
          </rPr>
          <t>User:</t>
        </r>
        <r>
          <rPr>
            <sz val="9"/>
            <color indexed="81"/>
            <rFont val="Tahoma"/>
            <family val="2"/>
          </rPr>
          <t xml:space="preserve">
See Debt service 2011 assessment sheet</t>
        </r>
      </text>
    </comment>
    <comment ref="C76" authorId="0" shapeId="0" xr:uid="{00000000-0006-0000-0000-00002D000000}">
      <text>
        <r>
          <rPr>
            <b/>
            <sz val="9"/>
            <color indexed="81"/>
            <rFont val="Tahoma"/>
            <family val="2"/>
          </rPr>
          <t>User:</t>
        </r>
        <r>
          <rPr>
            <sz val="9"/>
            <color indexed="81"/>
            <rFont val="Tahoma"/>
            <family val="2"/>
          </rPr>
          <t xml:space="preserve">
Water usage fluctuates so being conservative, I did not change this number from 2017.</t>
        </r>
      </text>
    </comment>
    <comment ref="C77" authorId="0" shapeId="0" xr:uid="{00000000-0006-0000-0000-00002F000000}">
      <text>
        <r>
          <rPr>
            <b/>
            <sz val="9"/>
            <color indexed="81"/>
            <rFont val="Tahoma"/>
            <family val="2"/>
          </rPr>
          <t>User:</t>
        </r>
        <r>
          <rPr>
            <sz val="9"/>
            <color indexed="81"/>
            <rFont val="Tahoma"/>
            <family val="2"/>
          </rPr>
          <t xml:space="preserve">
Reduced because of combined lots in 2016. From  at the January 1, 2016 1496  to 1485 at January 1 2017. The from 1485 to 1470 by October 17,2017, and to 1446 in October 2018
</t>
        </r>
      </text>
    </comment>
    <comment ref="C78" authorId="0" shapeId="0" xr:uid="{00000000-0006-0000-0000-000030000000}">
      <text>
        <r>
          <rPr>
            <b/>
            <sz val="9"/>
            <color indexed="81"/>
            <rFont val="Tahoma"/>
            <family val="2"/>
          </rPr>
          <t>User:
We started 2017 with 860 metered customers and ended the year with 872.</t>
        </r>
      </text>
    </comment>
    <comment ref="C80" authorId="0" shapeId="0" xr:uid="{00000000-0006-0000-0000-000031000000}">
      <text>
        <r>
          <rPr>
            <b/>
            <sz val="9"/>
            <color indexed="81"/>
            <rFont val="Tahoma"/>
            <family val="2"/>
          </rPr>
          <t>User:</t>
        </r>
        <r>
          <rPr>
            <sz val="9"/>
            <color indexed="81"/>
            <rFont val="Tahoma"/>
            <family val="2"/>
          </rPr>
          <t xml:space="preserve">
This estimate assumes that we install 7 meters in 2018.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 authorId="0" shapeId="0" xr:uid="{4D4FCD79-97E1-456E-8552-F94F67DBA64D}">
      <text>
        <r>
          <rPr>
            <b/>
            <sz val="9"/>
            <color indexed="81"/>
            <rFont val="Tahoma"/>
            <family val="2"/>
          </rPr>
          <t>User:</t>
        </r>
        <r>
          <rPr>
            <sz val="9"/>
            <color indexed="81"/>
            <rFont val="Tahoma"/>
            <family val="2"/>
          </rPr>
          <t xml:space="preserve">
2017-874 Customers
2018-892
2019-901</t>
        </r>
      </text>
    </comment>
    <comment ref="C5" authorId="0" shapeId="0" xr:uid="{651C6BBA-4D03-47A8-93C8-487FFD721625}">
      <text>
        <r>
          <rPr>
            <b/>
            <sz val="9"/>
            <color indexed="81"/>
            <rFont val="Tahoma"/>
            <family val="2"/>
          </rPr>
          <t>User:</t>
        </r>
        <r>
          <rPr>
            <sz val="9"/>
            <color indexed="81"/>
            <rFont val="Tahoma"/>
            <family val="2"/>
          </rPr>
          <t xml:space="preserve">
This Decreased by 150 due to lot combinations. From 1596 to 1446
</t>
        </r>
      </text>
    </comment>
    <comment ref="F10" authorId="0" shapeId="0" xr:uid="{5043D699-6E18-4C5E-AD11-36C4426CA2D6}">
      <text>
        <r>
          <rPr>
            <b/>
            <sz val="9"/>
            <color indexed="81"/>
            <rFont val="Tahoma"/>
            <family val="2"/>
          </rPr>
          <t>User:</t>
        </r>
        <r>
          <rPr>
            <sz val="9"/>
            <color indexed="81"/>
            <rFont val="Tahoma"/>
            <family val="2"/>
          </rPr>
          <t xml:space="preserve">
This is based off an estimate of 10 meters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25" authorId="0" shapeId="0" xr:uid="{00000000-0006-0000-0300-000001000000}">
      <text>
        <r>
          <rPr>
            <b/>
            <sz val="9"/>
            <color indexed="81"/>
            <rFont val="Tahoma"/>
            <family val="2"/>
          </rPr>
          <t>User:</t>
        </r>
        <r>
          <rPr>
            <sz val="9"/>
            <color indexed="81"/>
            <rFont val="Tahoma"/>
            <family val="2"/>
          </rPr>
          <t xml:space="preserve">
This includes $5,050 for worker's comp and $5,200 for on call pay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24" authorId="0" shapeId="0" xr:uid="{00000000-0006-0000-0400-000001000000}">
      <text>
        <r>
          <rPr>
            <b/>
            <sz val="9"/>
            <color indexed="81"/>
            <rFont val="Tahoma"/>
            <family val="2"/>
          </rPr>
          <t>User:</t>
        </r>
        <r>
          <rPr>
            <sz val="9"/>
            <color indexed="81"/>
            <rFont val="Tahoma"/>
            <family val="2"/>
          </rPr>
          <t xml:space="preserve">
This includes $6118 for worker's comp and $10,400 for on call pay </t>
        </r>
      </text>
    </comment>
  </commentList>
</comments>
</file>

<file path=xl/sharedStrings.xml><?xml version="1.0" encoding="utf-8"?>
<sst xmlns="http://schemas.openxmlformats.org/spreadsheetml/2006/main" count="1274" uniqueCount="558">
  <si>
    <t>Account</t>
  </si>
  <si>
    <t>ACCOUNT NAME</t>
  </si>
  <si>
    <t>LABOR COSTS</t>
  </si>
  <si>
    <t>employee benefits 401k</t>
  </si>
  <si>
    <t>SUTA taxes</t>
  </si>
  <si>
    <t>med insurance</t>
  </si>
  <si>
    <t>workers comp</t>
  </si>
  <si>
    <t>Wages</t>
  </si>
  <si>
    <t xml:space="preserve">   Total Labor Costs</t>
  </si>
  <si>
    <t>ADMINISTRATION COSTS</t>
  </si>
  <si>
    <t>Amortization</t>
  </si>
  <si>
    <t>Depreciation</t>
  </si>
  <si>
    <t>Misc. Bond Fees</t>
  </si>
  <si>
    <t>Notices and Advertising</t>
  </si>
  <si>
    <t>legal</t>
  </si>
  <si>
    <t>office supplies</t>
  </si>
  <si>
    <t>postage</t>
  </si>
  <si>
    <t>office space rent</t>
  </si>
  <si>
    <t>training</t>
  </si>
  <si>
    <t>telephone</t>
  </si>
  <si>
    <t>entertainment</t>
  </si>
  <si>
    <t>employee reimbursement</t>
  </si>
  <si>
    <t>Building Utilities</t>
  </si>
  <si>
    <t>misc. expense</t>
  </si>
  <si>
    <t>less Non Cash expense - Depreciation/Amort.</t>
  </si>
  <si>
    <t>Maintenance &amp; Project Costs</t>
  </si>
  <si>
    <t>bedding - Maintenance</t>
  </si>
  <si>
    <t>Equipment Rental</t>
  </si>
  <si>
    <t>hauling charges - Maintenance</t>
  </si>
  <si>
    <t>lab testing - Maintenance</t>
  </si>
  <si>
    <t>Maintenance Supplies</t>
  </si>
  <si>
    <t>pumping expense - Maintenance</t>
  </si>
  <si>
    <t>fuel</t>
  </si>
  <si>
    <t>Meter Installation supplies &amp; maint.</t>
  </si>
  <si>
    <t>Contract Labor</t>
  </si>
  <si>
    <t>snowmobile maint.</t>
  </si>
  <si>
    <t>backhoe maint.</t>
  </si>
  <si>
    <t>other equip. maint.</t>
  </si>
  <si>
    <t>truck maint.</t>
  </si>
  <si>
    <t>Equipment Lease Payments</t>
  </si>
  <si>
    <t xml:space="preserve">     Total Maintenance and Project Costs</t>
  </si>
  <si>
    <t>SPECIAL FUND COSTS</t>
  </si>
  <si>
    <t xml:space="preserve">    Water Billing</t>
  </si>
  <si>
    <t xml:space="preserve">    Meter and Hydrant Install Fees</t>
  </si>
  <si>
    <t>Total  Est. Costs for Operations &amp; Bonds</t>
  </si>
  <si>
    <t>Revenue</t>
  </si>
  <si>
    <t>2011 Revenue Bond</t>
  </si>
  <si>
    <t xml:space="preserve">     REVENUE BUDGET FOR BONDS</t>
  </si>
  <si>
    <t xml:space="preserve">TOTAL REVENUE </t>
  </si>
  <si>
    <t>Contract ACCT- Cap Lease Payment</t>
  </si>
  <si>
    <t>Road Maintenance and Repair</t>
  </si>
  <si>
    <t>Non Operating Revenue</t>
  </si>
  <si>
    <t>Gain/Loss on Disposal</t>
  </si>
  <si>
    <t>Interest on Cash Accounts</t>
  </si>
  <si>
    <t xml:space="preserve">    Interest Income on reserve funds from US Bank</t>
  </si>
  <si>
    <t>Interest Income on reserve funds from Zion's Bank</t>
  </si>
  <si>
    <t>Charitable Trust Income</t>
  </si>
  <si>
    <t>Total Non Operating Revenue</t>
  </si>
  <si>
    <t>Estimated Monthly Base Revenue without usage</t>
  </si>
  <si>
    <t>1998 Bond Service Requirement</t>
  </si>
  <si>
    <t>2004 Bond Service Requirement</t>
  </si>
  <si>
    <t>Operating Revenues</t>
  </si>
  <si>
    <t xml:space="preserve"> Bond Revenue</t>
  </si>
  <si>
    <t>bank charges and adjustments</t>
  </si>
  <si>
    <t>61015,6</t>
  </si>
  <si>
    <t>61020,1</t>
  </si>
  <si>
    <t>62020,1</t>
  </si>
  <si>
    <t>uniform expense</t>
  </si>
  <si>
    <t>Consulting Engineering</t>
  </si>
  <si>
    <t>Meter Replacements</t>
  </si>
  <si>
    <t>Telemetry Maintenance</t>
  </si>
  <si>
    <t>Building Insurance</t>
  </si>
  <si>
    <t>Miscellaneous Income</t>
  </si>
  <si>
    <t>Estimated late fees and penalties</t>
  </si>
  <si>
    <t xml:space="preserve">    Late Fees and Penalties/ collection interest etc.</t>
  </si>
  <si>
    <t>accounting &amp; audit</t>
  </si>
  <si>
    <t xml:space="preserve"> (includes interest expense)</t>
  </si>
  <si>
    <t>total</t>
  </si>
  <si>
    <t>Sinking Fund</t>
  </si>
  <si>
    <t>interest</t>
  </si>
  <si>
    <t>Debt Service</t>
  </si>
  <si>
    <t>Reserve</t>
  </si>
  <si>
    <t>Cum.Res.</t>
  </si>
  <si>
    <t xml:space="preserve">     Amount from existing cash on Hand</t>
  </si>
  <si>
    <t>paid on 6/15</t>
  </si>
  <si>
    <t>Principal</t>
  </si>
  <si>
    <t>1.  LT 8 yrs</t>
  </si>
  <si>
    <t>2.  LT 7 yrs</t>
  </si>
  <si>
    <t>3.  LT 6 yrs</t>
  </si>
  <si>
    <t>4.  LT 5 yrs</t>
  </si>
  <si>
    <t>5.  LT 4 yrs</t>
  </si>
  <si>
    <t>6.  LT 3 Yrs</t>
  </si>
  <si>
    <t>7. Lt 2 Yrs</t>
  </si>
  <si>
    <t>Leave $10,000 cushion in Savings AC</t>
  </si>
  <si>
    <t>Investing Ideas</t>
  </si>
  <si>
    <t>Interest Expense</t>
  </si>
  <si>
    <t>Co Water System Improvements</t>
  </si>
  <si>
    <t>Amount from Cash on Hand</t>
  </si>
  <si>
    <t>Misc. Maintenance Costs-Contract Labor</t>
  </si>
  <si>
    <t xml:space="preserve">Revenue for O&amp;M </t>
  </si>
  <si>
    <t>Total Operations Admin-Labor-Maintenance Cash Requirement</t>
  </si>
  <si>
    <t>Finance Charges</t>
  </si>
  <si>
    <t>Meter Install charges</t>
  </si>
  <si>
    <t>Estimated Yearly Base Revenue with usage</t>
  </si>
  <si>
    <t>Debt Schedules</t>
  </si>
  <si>
    <t xml:space="preserve"> 1998 Bond</t>
  </si>
  <si>
    <t xml:space="preserve"> 2004 Bond</t>
  </si>
  <si>
    <t xml:space="preserve"> 2011 Bond</t>
  </si>
  <si>
    <t>Ally Truck Loan (2011)</t>
  </si>
  <si>
    <t>GMAC Truck Loan (2008)</t>
  </si>
  <si>
    <t>CAT Loan (2011)</t>
  </si>
  <si>
    <t>BAN, Series 2008</t>
  </si>
  <si>
    <t>SAB, Series 2011</t>
  </si>
  <si>
    <t>Grand Total Debt</t>
  </si>
  <si>
    <t>(Interest due 1/15 and 7/15)</t>
  </si>
  <si>
    <t>(Payments due 4/1 and 10/1)</t>
  </si>
  <si>
    <t>(Payments due 6/15 and 12/15)</t>
  </si>
  <si>
    <t>Total Revenue Bonds</t>
  </si>
  <si>
    <t>(Payments due monthly)</t>
  </si>
  <si>
    <t>Total Notes Payable</t>
  </si>
  <si>
    <t>(Interest due 6/18 and 12/18)</t>
  </si>
  <si>
    <t>(Interest due 6/15 and 12/15)</t>
  </si>
  <si>
    <t xml:space="preserve"> Principal </t>
  </si>
  <si>
    <t xml:space="preserve"> Interest </t>
  </si>
  <si>
    <t xml:space="preserve"> Total </t>
  </si>
  <si>
    <t>Total</t>
  </si>
  <si>
    <t>Less current yr payments</t>
  </si>
  <si>
    <t>Total Debt O/S</t>
  </si>
  <si>
    <t>Current Portion</t>
  </si>
  <si>
    <t>Long-term Portion</t>
  </si>
  <si>
    <t>GL 27900</t>
  </si>
  <si>
    <t>GL 26700</t>
  </si>
  <si>
    <t>GL 26600</t>
  </si>
  <si>
    <t>GL 26940</t>
  </si>
  <si>
    <t>GL 26100</t>
  </si>
  <si>
    <t>GL 26200</t>
  </si>
  <si>
    <t>GL 26210</t>
  </si>
  <si>
    <t>GL 26950</t>
  </si>
  <si>
    <t>Total Special Fund Costs</t>
  </si>
  <si>
    <t>40030-101</t>
  </si>
  <si>
    <t>40041-601</t>
  </si>
  <si>
    <t>40040-301</t>
  </si>
  <si>
    <t>40042-201</t>
  </si>
  <si>
    <t>400140-504</t>
  </si>
  <si>
    <t>40060-1901</t>
  </si>
  <si>
    <t>40090-1701</t>
  </si>
  <si>
    <t>40080-1501</t>
  </si>
  <si>
    <t>40100-405</t>
  </si>
  <si>
    <t>liability insurance + auto,equip,system</t>
  </si>
  <si>
    <t>FUTA Payroll Taxes</t>
  </si>
  <si>
    <t>Year to date</t>
  </si>
  <si>
    <t>NAME</t>
  </si>
  <si>
    <t>YRS EXP</t>
  </si>
  <si>
    <t>Hourly Rate</t>
  </si>
  <si>
    <t>Annual</t>
  </si>
  <si>
    <t>Retirement</t>
  </si>
  <si>
    <t>Insurance</t>
  </si>
  <si>
    <t>401k</t>
  </si>
  <si>
    <t>Social Security</t>
  </si>
  <si>
    <t>Medicare</t>
  </si>
  <si>
    <t>Suta</t>
  </si>
  <si>
    <t>Jody</t>
  </si>
  <si>
    <t>Kirk</t>
  </si>
  <si>
    <t>Vince</t>
  </si>
  <si>
    <t>Craig</t>
  </si>
  <si>
    <t>Health Insurance</t>
  </si>
  <si>
    <t xml:space="preserve">Jody </t>
  </si>
  <si>
    <t xml:space="preserve">Kirk </t>
  </si>
  <si>
    <t>Hugh</t>
  </si>
  <si>
    <t>Travis</t>
  </si>
  <si>
    <t>Carol</t>
  </si>
  <si>
    <t>Russell</t>
  </si>
  <si>
    <t>Demand</t>
  </si>
  <si>
    <t>Forecast</t>
  </si>
  <si>
    <t>2017 with 3% Increase</t>
  </si>
  <si>
    <t>Average</t>
  </si>
  <si>
    <t>Overtime Total</t>
  </si>
  <si>
    <t>Total With Overtime</t>
  </si>
  <si>
    <t>Total Wages</t>
  </si>
  <si>
    <t>Total With Benefits</t>
  </si>
  <si>
    <t>FICA</t>
  </si>
  <si>
    <t>Total with Benefits and ON CALL Pay</t>
  </si>
  <si>
    <t>Over time</t>
  </si>
  <si>
    <t>January</t>
  </si>
  <si>
    <t>February</t>
  </si>
  <si>
    <t>March</t>
  </si>
  <si>
    <t>April</t>
  </si>
  <si>
    <t>May</t>
  </si>
  <si>
    <t>June</t>
  </si>
  <si>
    <t>July</t>
  </si>
  <si>
    <t>August</t>
  </si>
  <si>
    <t>September</t>
  </si>
  <si>
    <t>October</t>
  </si>
  <si>
    <t>November</t>
  </si>
  <si>
    <t>December</t>
  </si>
  <si>
    <t>Available Cash at Month End</t>
  </si>
  <si>
    <t>Average  Month End Balance</t>
  </si>
  <si>
    <t xml:space="preserve">1998 Bond &amp; 2004 Bond (10.66) </t>
  </si>
  <si>
    <t>2018 with Increase</t>
  </si>
  <si>
    <t>Truck Purchase and Payments</t>
  </si>
  <si>
    <t>2018 Approved Budget</t>
  </si>
  <si>
    <t>2018 Year to Date</t>
  </si>
  <si>
    <t>Licenses</t>
  </si>
  <si>
    <t>Michelle</t>
  </si>
  <si>
    <t>Candie</t>
  </si>
  <si>
    <t>Total Percentage</t>
  </si>
  <si>
    <t>FY 2017</t>
  </si>
  <si>
    <t>Increase From 2017 to 2018</t>
  </si>
  <si>
    <t>Monthly Increase Per Customer</t>
  </si>
  <si>
    <t>FY 2018</t>
  </si>
  <si>
    <t>Increase From 2018 to 2019</t>
  </si>
  <si>
    <t>FY 2019</t>
  </si>
  <si>
    <t>Increase From 2019 to 2020</t>
  </si>
  <si>
    <t>FY 2020</t>
  </si>
  <si>
    <t>Annual Beginning Fund Balance</t>
  </si>
  <si>
    <t>OPERATIONAL REVENUES</t>
  </si>
  <si>
    <t xml:space="preserve"> Meter Maintenance Fee - Connected 880 Customers </t>
  </si>
  <si>
    <t xml:space="preserve"> System Maint Fee - Connected, Unconnected  1470 Customers </t>
  </si>
  <si>
    <t xml:space="preserve"> Metered Consumption - Connected 880 Customers </t>
  </si>
  <si>
    <t xml:space="preserve"> 1998 Bond and 2004 Bond Fee - Connected, Unconnected 1603 </t>
  </si>
  <si>
    <t xml:space="preserve"> $                                 -   </t>
  </si>
  <si>
    <t xml:space="preserve"> $                   -   </t>
  </si>
  <si>
    <t xml:space="preserve"> $                     -   </t>
  </si>
  <si>
    <t>Collection Fees</t>
  </si>
  <si>
    <t>Meter  Fees</t>
  </si>
  <si>
    <t xml:space="preserve">                -   </t>
  </si>
  <si>
    <t>Total Operational Revenues</t>
  </si>
  <si>
    <t>Water Usage Income Increase</t>
  </si>
  <si>
    <t>Total Suggested Increase</t>
  </si>
  <si>
    <t>Zions Recommended Increase</t>
  </si>
  <si>
    <t>Average Adjustment</t>
  </si>
  <si>
    <t>Included Above-40060</t>
  </si>
  <si>
    <t>Null</t>
  </si>
  <si>
    <t xml:space="preserve">Reduced Increase Due to Bond Refunding </t>
  </si>
  <si>
    <t xml:space="preserve">Reduced Increase from 1998  Bond Pay Off </t>
  </si>
  <si>
    <t>Monthly Increase in $24.50 fee for 888 Customers</t>
  </si>
  <si>
    <t>$15 Base System  Increase for 1446 Customers</t>
  </si>
  <si>
    <t>Water Usage Monthly Average Per Customer Increase</t>
  </si>
  <si>
    <t>Level</t>
  </si>
  <si>
    <t>From</t>
  </si>
  <si>
    <t>To</t>
  </si>
  <si>
    <t>Gallons</t>
  </si>
  <si>
    <t>Rate</t>
  </si>
  <si>
    <t>Calculated Value</t>
  </si>
  <si>
    <t>Net Increase</t>
  </si>
  <si>
    <t>Scenario 7</t>
  </si>
  <si>
    <t>Total Deductions</t>
  </si>
  <si>
    <t xml:space="preserve">Total </t>
  </si>
  <si>
    <t>.</t>
  </si>
  <si>
    <t>Total  Required Increase over five years</t>
  </si>
  <si>
    <t>Actual 5 Year Total Without Usage</t>
  </si>
  <si>
    <t>CAPITAL &amp; MAINTENANCE EXPENSE</t>
  </si>
  <si>
    <t>Bond Defeasance</t>
  </si>
  <si>
    <t>Proceeds from Bonds</t>
  </si>
  <si>
    <t>Upper Lone Pine Feed Line</t>
  </si>
  <si>
    <t>2 Springs @ $75K Each</t>
  </si>
  <si>
    <t>Pump Station</t>
  </si>
  <si>
    <t>Repair and Replacement Budget @ 5% Inflation</t>
  </si>
  <si>
    <t>Total Capital &amp; Maintenance Expense</t>
  </si>
  <si>
    <t>Meter Maintenance Fee - Connected</t>
  </si>
  <si>
    <t>System Maint Fee - Connected, Unconnected</t>
  </si>
  <si>
    <t>Metered Consumption - Connected</t>
  </si>
  <si>
    <t>1998 Bond and 2004 Bond Fee - Connected, Unconnected</t>
  </si>
  <si>
    <t>Meter Hydrant Fees</t>
  </si>
  <si>
    <t>Level of Annual Capital R&amp;R Funding</t>
  </si>
  <si>
    <t xml:space="preserve"> At 5% O&amp;M Inflation</t>
  </si>
  <si>
    <r>
      <t>Annual Increase to Charges that Can Increase (Non-Bond Charges)</t>
    </r>
    <r>
      <rPr>
        <b/>
        <vertAlign val="superscript"/>
        <sz val="14"/>
        <rFont val="Calibri"/>
        <family val="2"/>
      </rPr>
      <t>1</t>
    </r>
  </si>
  <si>
    <r>
      <t>Average Net % Increase to Connected Lot Monthly Bills</t>
    </r>
    <r>
      <rPr>
        <b/>
        <vertAlign val="superscript"/>
        <sz val="14"/>
        <rFont val="Calibri"/>
        <family val="2"/>
      </rPr>
      <t>2</t>
    </r>
  </si>
  <si>
    <r>
      <t>Average Net % Increase to Unconnected Lot Monthly Bills</t>
    </r>
    <r>
      <rPr>
        <b/>
        <vertAlign val="superscript"/>
        <sz val="14"/>
        <rFont val="Calibri"/>
        <family val="2"/>
      </rPr>
      <t>3</t>
    </r>
    <r>
      <rPr>
        <sz val="10"/>
        <rFont val="Arial"/>
        <family val="2"/>
      </rPr>
      <t/>
    </r>
  </si>
  <si>
    <t>Days Operational Expense Cash on Hand (Target: 150)</t>
  </si>
  <si>
    <t>A</t>
  </si>
  <si>
    <t>B</t>
  </si>
  <si>
    <t>C</t>
  </si>
  <si>
    <t>D</t>
  </si>
  <si>
    <t>E</t>
  </si>
  <si>
    <t xml:space="preserve"> F </t>
  </si>
  <si>
    <t>G</t>
  </si>
  <si>
    <t>H</t>
  </si>
  <si>
    <t>I</t>
  </si>
  <si>
    <t>J</t>
  </si>
  <si>
    <t>K</t>
  </si>
  <si>
    <t>L</t>
  </si>
  <si>
    <t>FY 2015</t>
  </si>
  <si>
    <t>FY 2016</t>
  </si>
  <si>
    <t>FY 2021</t>
  </si>
  <si>
    <t>FY 2022</t>
  </si>
  <si>
    <t>FY 2023</t>
  </si>
  <si>
    <t>FY 2024</t>
  </si>
  <si>
    <t>OPERATIONAL EXPENSE (Water System)</t>
  </si>
  <si>
    <t>Total Operational Expense (Water System)</t>
  </si>
  <si>
    <t>NON-OPERATIONAL REVENUES/(EXPENSE)</t>
  </si>
  <si>
    <t>Interest</t>
  </si>
  <si>
    <t>Total Non-Operational Revenues/(Expenses)</t>
  </si>
  <si>
    <t>Series 2011 Special Assessment Bonds</t>
  </si>
  <si>
    <t>Net Revenues Available for Revenue Bond Debt Service</t>
  </si>
  <si>
    <t>Bond Payments</t>
  </si>
  <si>
    <t>Series 1998 Water Revenue Bonds</t>
  </si>
  <si>
    <t>Series 2004 Water Revenues Bonds</t>
  </si>
  <si>
    <t>Series 2011 Water Revenue Bonds</t>
  </si>
  <si>
    <t>Cash Available for Capital &amp; Maintenance Expense</t>
  </si>
  <si>
    <t>Upper Lone Pine Feed Line - $350K</t>
  </si>
  <si>
    <t>2 Springs @ $75K Each - $150K</t>
  </si>
  <si>
    <t>Pump Station - $100K</t>
  </si>
  <si>
    <t>Net Revenues or Expenses</t>
  </si>
  <si>
    <t>Annual Ending Fund Balance</t>
  </si>
  <si>
    <t>Footnotes</t>
  </si>
  <si>
    <t>General Notes</t>
  </si>
  <si>
    <t>Operational Expenses inflated annually at 5%.</t>
  </si>
  <si>
    <t>Timber Lakes Water Special Service District</t>
  </si>
  <si>
    <t xml:space="preserve">The charges that can increase are inflated annually to at least keep pace with O&amp;M cost inflation.  </t>
  </si>
  <si>
    <t>New Meter Fees</t>
  </si>
  <si>
    <t>ATTACHMENT A: SYSTEM OPERATIONAL COSTS</t>
  </si>
  <si>
    <t>DIVISION OF OPERATIONAL COSTS BETWEEN BASE AND CONSUMPTION FEES</t>
  </si>
  <si>
    <t xml:space="preserve">B </t>
  </si>
  <si>
    <t>F</t>
  </si>
  <si>
    <t>M</t>
  </si>
  <si>
    <t>N</t>
  </si>
  <si>
    <t>O</t>
  </si>
  <si>
    <t>P</t>
  </si>
  <si>
    <t>Operational Revenues</t>
  </si>
  <si>
    <t>Inflation</t>
  </si>
  <si>
    <t>Water Billing</t>
  </si>
  <si>
    <t>Capital Improvement Income (w/o 1998 &amp; 2004 Bonds)</t>
  </si>
  <si>
    <t>Meter Maintenance Fee</t>
  </si>
  <si>
    <t>Meter and Hydrant Install Fees</t>
  </si>
  <si>
    <t>2011 SAB Assessment Revenue</t>
  </si>
  <si>
    <t>Connection Fees</t>
  </si>
  <si>
    <t>Total Labor</t>
  </si>
  <si>
    <t>Non-Operational Revenues</t>
  </si>
  <si>
    <t>NON-OPERATIONAL REVENUES</t>
  </si>
  <si>
    <t>Miscelleneous Income</t>
  </si>
  <si>
    <t>Operational Expenses</t>
  </si>
  <si>
    <t>Employee benefits 401k</t>
  </si>
  <si>
    <t>FICA/FUTA</t>
  </si>
  <si>
    <t>Utah Payroll tax</t>
  </si>
  <si>
    <t>bank charges</t>
  </si>
  <si>
    <t>NOT INCLUDED IN CALCULATIONS</t>
  </si>
  <si>
    <t>Bad debts</t>
  </si>
  <si>
    <t>accounting</t>
  </si>
  <si>
    <t>overpayment(refunds)</t>
  </si>
  <si>
    <t>dues &amp; subscriptions&amp;software</t>
  </si>
  <si>
    <t>Buiilding Insurance</t>
  </si>
  <si>
    <t>liability insurance</t>
  </si>
  <si>
    <t>interest expense</t>
  </si>
  <si>
    <t>Uniform Expense</t>
  </si>
  <si>
    <r>
      <t xml:space="preserve">    </t>
    </r>
    <r>
      <rPr>
        <b/>
        <i/>
        <sz val="10"/>
        <rFont val="Calibri"/>
        <family val="2"/>
      </rPr>
      <t>Total Admin Expenses</t>
    </r>
  </si>
  <si>
    <t>MAINTENANCE &amp; PROJECT COSTS</t>
  </si>
  <si>
    <t>Misc. Maintenance Costs</t>
  </si>
  <si>
    <t>Truck Purchase Payments</t>
  </si>
  <si>
    <t>Total Water Operational Expenses</t>
  </si>
  <si>
    <t>Operational Expenses Allocated to Base</t>
  </si>
  <si>
    <t>Base Fee Allocation</t>
  </si>
  <si>
    <t/>
  </si>
  <si>
    <t>Total Water Base Charge Expenses</t>
  </si>
  <si>
    <t>Operational Expenses Allocated to Overage/Consumption</t>
  </si>
  <si>
    <t>Overage Fee Allocation</t>
  </si>
  <si>
    <t>Total Water Overage/Consumption Expenses</t>
  </si>
  <si>
    <t>ATTACHMENT G: RECOMMENDED WATER FEES</t>
  </si>
  <si>
    <t>Table No.</t>
  </si>
  <si>
    <t>Description</t>
  </si>
  <si>
    <t>Operations/ Maintenance - Consumption</t>
  </si>
  <si>
    <t>Expense</t>
  </si>
  <si>
    <t>Connections</t>
  </si>
  <si>
    <t>Average Monthly Consumption (1kgal)</t>
  </si>
  <si>
    <t>Connections Developed</t>
  </si>
  <si>
    <t>Annual Total Consumption (1kgal)</t>
  </si>
  <si>
    <t>Average Cost per 1,000 Gal</t>
  </si>
  <si>
    <t>Cost per Connection</t>
  </si>
  <si>
    <t>Operations/ Maintenance - Base</t>
  </si>
  <si>
    <t>Capital Fee - 1998, 2004 Bonds</t>
  </si>
  <si>
    <t>Annual Debt Service + 25%</t>
  </si>
  <si>
    <t>Capital Fee - 2011 Revenue Bonds</t>
  </si>
  <si>
    <t>Capital Fee - 2011 Assessment Bonds</t>
  </si>
  <si>
    <t>Annual Debt Service (No Additional Coverage Requirement)</t>
  </si>
  <si>
    <t>Capital Fee - Joined</t>
  </si>
  <si>
    <t>Expense (No Coverage)</t>
  </si>
  <si>
    <t>Capital Fee - Split</t>
  </si>
  <si>
    <t>Total Expense</t>
  </si>
  <si>
    <t>Average Monthly Fee Per Developed Connection</t>
  </si>
  <si>
    <t>Average Monthly Fee Per Undeveloped Connection</t>
  </si>
  <si>
    <t>APPENDIX F: SUMMARY OF OUTSTANDING BONDS</t>
  </si>
  <si>
    <t xml:space="preserve">A </t>
  </si>
  <si>
    <t>Scenario 1</t>
  </si>
  <si>
    <t>Scenario 2.B</t>
  </si>
  <si>
    <t>Scenario 2.A</t>
  </si>
  <si>
    <t>Scenario 3</t>
  </si>
  <si>
    <t>Bond Issue</t>
  </si>
  <si>
    <t>Par Amount</t>
  </si>
  <si>
    <t>Project Proceeds</t>
  </si>
  <si>
    <t>Total Debt Service</t>
  </si>
  <si>
    <t>Debt Service Included in Fee</t>
  </si>
  <si>
    <t>Capital Projects</t>
  </si>
  <si>
    <t>Proposed Bond Issues</t>
  </si>
  <si>
    <r>
      <t>Construction Proceeds</t>
    </r>
    <r>
      <rPr>
        <b/>
        <vertAlign val="superscript"/>
        <sz val="10"/>
        <color indexed="9"/>
        <rFont val="Calibri"/>
        <family val="2"/>
      </rPr>
      <t>1</t>
    </r>
  </si>
  <si>
    <t>Cash-Funded Projects</t>
  </si>
  <si>
    <t>Proceeds</t>
  </si>
  <si>
    <t>COI</t>
  </si>
  <si>
    <t>Par</t>
  </si>
  <si>
    <t>Coupon</t>
  </si>
  <si>
    <t>Totals</t>
  </si>
  <si>
    <t>Series 1998 Water Revenue Bond</t>
  </si>
  <si>
    <t>Series 2004 Water Revenue Bond</t>
  </si>
  <si>
    <t>DSRF</t>
  </si>
  <si>
    <t>Total D/S</t>
  </si>
  <si>
    <t>Series 2011 Assessment Bond</t>
  </si>
  <si>
    <t>Series 2011 Water Revenue Bond</t>
  </si>
  <si>
    <t>Date</t>
  </si>
  <si>
    <t>Total P+I</t>
  </si>
  <si>
    <t xml:space="preserve">Yield Statistics </t>
  </si>
  <si>
    <t xml:space="preserve"> </t>
  </si>
  <si>
    <t>Bond Year Dollars</t>
  </si>
  <si>
    <t>Average Life</t>
  </si>
  <si>
    <t>Average Coupon</t>
  </si>
  <si>
    <t>Net Interest Cost (NIC)</t>
  </si>
  <si>
    <t>True Interest Cost (TIC)</t>
  </si>
  <si>
    <t>Bond Yield for Arbitrage Purposes</t>
  </si>
  <si>
    <t>All Inclusive Cost (AIC)</t>
  </si>
  <si>
    <t xml:space="preserve">IRS Form 8038 </t>
  </si>
  <si>
    <t>Net Interest Cost</t>
  </si>
  <si>
    <t>Weighted Average Maturity</t>
  </si>
  <si>
    <t>Series 1998</t>
  </si>
  <si>
    <t>Series 2004</t>
  </si>
  <si>
    <t>Series 2011 Assesment</t>
  </si>
  <si>
    <t>Series 2011 Revenue</t>
  </si>
  <si>
    <t>Averaged Rate Increase Revenues</t>
  </si>
  <si>
    <t>Late Fees and Collection Fees</t>
  </si>
  <si>
    <t>Late Fees and Connection Fees</t>
  </si>
  <si>
    <t xml:space="preserve"> Bond coverage ratio (Line 52) in any given year must be 1.25 or above.</t>
  </si>
  <si>
    <t xml:space="preserve"> WATER DEBT SERVICE COVERAGE ANALYSIS -  Adjust Rates to Increase with Projected 2019 Budget</t>
  </si>
  <si>
    <t>2019 Mo. Budget Revenue</t>
  </si>
  <si>
    <t>Dollar Amount Generated by Increase</t>
  </si>
  <si>
    <t>2004 Revenue Bond Income</t>
  </si>
  <si>
    <t>2018 Revenue Bond</t>
  </si>
  <si>
    <t>Total Bond Payments</t>
  </si>
  <si>
    <t>Revenue Bond Coverage Ratio</t>
  </si>
  <si>
    <t>CAPITAL IMPROVEMENT EXPENSE</t>
  </si>
  <si>
    <t>Total Capital Expense</t>
  </si>
  <si>
    <t xml:space="preserve"> 2011/ 2018 Bonds - Connected, Unconnected</t>
  </si>
  <si>
    <t>Labor Costs</t>
  </si>
  <si>
    <t>Administration Costs</t>
  </si>
  <si>
    <t>Maintenance and Project Costs</t>
  </si>
  <si>
    <t>Level of Annual Capital R&amp;R Funding $25,000</t>
  </si>
  <si>
    <t>Average Net $ Increase to Connected Lot Monthly Bills of $94.11</t>
  </si>
  <si>
    <t>Average Net $Increase to Unconnected Lot Monthly Bills of $69.61</t>
  </si>
  <si>
    <t>2011 Revenue</t>
  </si>
  <si>
    <t>Days of Operational Cash on Hand</t>
  </si>
  <si>
    <t>Pro Rate From End of October  2018</t>
  </si>
  <si>
    <t>New Meter Installation supplies</t>
  </si>
  <si>
    <t>backhoe and excavator maint.</t>
  </si>
  <si>
    <t>truck &amp; dump truck maint.</t>
  </si>
  <si>
    <t>equipment rental</t>
  </si>
  <si>
    <t>road Maintenance and repair</t>
  </si>
  <si>
    <t>meter replacements</t>
  </si>
  <si>
    <t>2018 Yearly Budget Revenue With Usage</t>
  </si>
  <si>
    <t>1998 and2004 Revenue Bonds</t>
  </si>
  <si>
    <t>4 The Revenue Bond Coverage Ratio is the ratio of Net Revenues Available for Revenue Bonds Debt Service divided by the Total Annual Loan Payments.  Minimum amount is 1.25.</t>
  </si>
  <si>
    <t>Interest earned at 2.47% of annual cash balance.</t>
  </si>
  <si>
    <t xml:space="preserve">Repair and Replacement Budget is set at $30,000 from 2016 and increased annually at 5% inflation.  </t>
  </si>
  <si>
    <t xml:space="preserve"> $2.95-2011 Revenue Bond-1314 Customers</t>
  </si>
  <si>
    <r>
      <rPr>
        <vertAlign val="superscript"/>
        <sz val="16"/>
        <rFont val="Calibri"/>
        <family val="2"/>
      </rPr>
      <t>1</t>
    </r>
    <r>
      <rPr>
        <sz val="16"/>
        <rFont val="Calibri"/>
        <family val="2"/>
      </rPr>
      <t xml:space="preserve"> Annual Increase to Inflated Rates is the annual increase required to the System Maintenance, Meter Maintenance, and Metered Consumption Charges to maintain debt service coverage ratio and annual cash reserves.</t>
    </r>
  </si>
  <si>
    <r>
      <rPr>
        <vertAlign val="superscript"/>
        <sz val="16"/>
        <rFont val="Calibri"/>
        <family val="2"/>
      </rPr>
      <t>2</t>
    </r>
    <r>
      <rPr>
        <sz val="16"/>
        <rFont val="Calibri"/>
        <family val="2"/>
      </rPr>
      <t xml:space="preserve"> Net Impact to Connected Lots shows the weighted average increase in fees for a connected lot including the Meter Maintenance and the Metered Consumption Fees.  The Net Impact is lower than the Annual Increase to Inflated Rates because the fees paid for debt service are not increased with inflation</t>
    </r>
  </si>
  <si>
    <r>
      <rPr>
        <vertAlign val="superscript"/>
        <sz val="16"/>
        <rFont val="Calibri"/>
        <family val="2"/>
      </rPr>
      <t>3</t>
    </r>
    <r>
      <rPr>
        <sz val="16"/>
        <rFont val="Calibri"/>
        <family val="2"/>
      </rPr>
      <t xml:space="preserve"> Net Impact to Unconnected Lots shows the weighted average increase in fees for an unconnected lot excluding the Meter Maintenance and the Metered Consumption Fees.  The Net Impact is lower than the Annual Increase to Inflated Rates because the fees paid for debt service are not increased with inflation.</t>
    </r>
  </si>
  <si>
    <t>y</t>
  </si>
  <si>
    <t>Overpayment (Refunds)</t>
  </si>
  <si>
    <t>2020 Yearly Budget Revenue With Usage</t>
  </si>
  <si>
    <t>Water usage- 901 customers</t>
  </si>
  <si>
    <t xml:space="preserve">$24.50 O &amp; M Fee-901Customers </t>
  </si>
  <si>
    <t>$30 System Maintenance Fee - all lots 1448 Customers</t>
  </si>
  <si>
    <t>$41-2011 Assessment Bond-2018 Revenue Refunding-1102 Customers</t>
  </si>
  <si>
    <t>2004 Bond Shown ($3.50)</t>
  </si>
  <si>
    <t xml:space="preserve"> 2020 Rate Code Explanation</t>
  </si>
  <si>
    <t xml:space="preserve"> 2021 Rate Code Explanation</t>
  </si>
  <si>
    <t>2020 Mo. Budget Revenue</t>
  </si>
  <si>
    <t>40030-102</t>
  </si>
  <si>
    <t>40041-602</t>
  </si>
  <si>
    <t>40040-302</t>
  </si>
  <si>
    <t>1999 and2004 Revenue Bonds</t>
  </si>
  <si>
    <t>40042-202</t>
  </si>
  <si>
    <t>40100-406</t>
  </si>
  <si>
    <t>400140-505</t>
  </si>
  <si>
    <t>40060-1902</t>
  </si>
  <si>
    <t>Office Supplies</t>
  </si>
  <si>
    <t>dues &amp; subscriptions and software support</t>
  </si>
  <si>
    <t>Computer Maintenance and web support</t>
  </si>
  <si>
    <t>2021 with Increase</t>
  </si>
  <si>
    <t>Catlin</t>
  </si>
  <si>
    <t>Candy</t>
  </si>
  <si>
    <t>2021 Cola 2.38%</t>
  </si>
  <si>
    <t>Meter Installation Fees</t>
  </si>
  <si>
    <t>Interest on cash accounts</t>
  </si>
  <si>
    <t xml:space="preserve">     Finance charges (2021)included above)</t>
  </si>
  <si>
    <t>5% Merit</t>
  </si>
  <si>
    <t>Accumulated Depreciation</t>
  </si>
  <si>
    <t>$31.11-2011 Assessment Bond-2021 Revenue Refunding-965 Customers</t>
  </si>
  <si>
    <t xml:space="preserve"> 2022 Rate Code Explanation</t>
  </si>
  <si>
    <t>$30 System Maintenance Fee - all lots 1423 Customers</t>
  </si>
  <si>
    <t xml:space="preserve">    $30 System Maintenance Fee (=1423*30 units)</t>
  </si>
  <si>
    <t xml:space="preserve">2021 Assessment Bond-2021 Refunding Revenue Bond </t>
  </si>
  <si>
    <t>2021 Refunded Assessment/Revenue Bond</t>
  </si>
  <si>
    <t>TOTAL</t>
  </si>
  <si>
    <t>INTEREST</t>
  </si>
  <si>
    <t>OUTSTANDING</t>
  </si>
  <si>
    <t>DEBT SERVICE</t>
  </si>
  <si>
    <t>INTEREST DUE:</t>
  </si>
  <si>
    <t>PRINCIPAL DUE:</t>
  </si>
  <si>
    <t>COUPON:</t>
  </si>
  <si>
    <t>DATE:</t>
  </si>
  <si>
    <t xml:space="preserve">PER COUPON </t>
  </si>
  <si>
    <t>PER COUPON</t>
  </si>
  <si>
    <t xml:space="preserve">PRINCIPAL </t>
  </si>
  <si>
    <t>YEARLY</t>
  </si>
  <si>
    <t>REG</t>
  </si>
  <si>
    <t>1ST PERIOD</t>
  </si>
  <si>
    <t>10% OF PROCEEDS:</t>
  </si>
  <si>
    <t>TOTAL YEARS TO CALC AVG ANNL:</t>
  </si>
  <si>
    <t>MAX ANNUAL D.SERV:</t>
  </si>
  <si>
    <t>COMPUTATION TABLES</t>
  </si>
  <si>
    <t>125% X avg annual d/s</t>
  </si>
  <si>
    <t>DAYS IN YEAR</t>
  </si>
  <si>
    <t>FINAL MATURITY:</t>
  </si>
  <si>
    <t>WGHTD AVG MAT:</t>
  </si>
  <si>
    <t xml:space="preserve"> MULTIPLES OF:</t>
  </si>
  <si>
    <t>FIRST PAYMENT DATE:</t>
  </si>
  <si>
    <t>AVG ANNL D/S:</t>
  </si>
  <si>
    <t>ORIGINAL O/S:</t>
  </si>
  <si>
    <t>INT ACCRUES FROM:</t>
  </si>
  <si>
    <t>Calendar Year</t>
  </si>
  <si>
    <t>Bond Year</t>
  </si>
  <si>
    <t>Determination Period</t>
  </si>
  <si>
    <t>AMORTIZATION SCHEDULE</t>
  </si>
  <si>
    <t>2022 Preliminary Budget Revenue</t>
  </si>
  <si>
    <t>2011 Special Assessment Bond Service Requirement Unrefunded  Refinanced 2021</t>
  </si>
  <si>
    <t>2018 Refunded Bond Service Requirement Refinance 2021</t>
  </si>
  <si>
    <t>2022  Preliminary Budget</t>
  </si>
  <si>
    <t>2011 Revenue Bond; Refinanced 2021</t>
  </si>
  <si>
    <t>2021 Approved</t>
  </si>
  <si>
    <t>Total Wage With Increase</t>
  </si>
  <si>
    <t>Increase with Cola</t>
  </si>
  <si>
    <t>Social Security/Fica</t>
  </si>
  <si>
    <t>Office Scanner</t>
  </si>
  <si>
    <t>Tyler  Summer Help</t>
  </si>
  <si>
    <t>Lee Truck Driver</t>
  </si>
  <si>
    <t>On Call Pay</t>
  </si>
  <si>
    <t>Futa</t>
  </si>
  <si>
    <t>Workmen's Comp</t>
  </si>
  <si>
    <t xml:space="preserve">2022 COLA Total  </t>
  </si>
  <si>
    <t>2022 with Increase</t>
  </si>
  <si>
    <t xml:space="preserve">Bad debts </t>
  </si>
  <si>
    <r>
      <t xml:space="preserve">   </t>
    </r>
    <r>
      <rPr>
        <b/>
        <i/>
        <sz val="18"/>
        <rFont val="Arial"/>
        <family val="2"/>
      </rPr>
      <t>Admin Expenses</t>
    </r>
  </si>
  <si>
    <t>Capital Improvement Funds from Reserve</t>
  </si>
  <si>
    <t>Water Usage Income</t>
  </si>
  <si>
    <t>New Account Set Up Fee</t>
  </si>
  <si>
    <t>Kirk Sulser</t>
  </si>
  <si>
    <t xml:space="preserve">    Meter Maintenance Fee (2022-$24.50*940 units)</t>
  </si>
  <si>
    <t>1998 and 2004 Revenue Bonds 1588 Customers $3.50</t>
  </si>
  <si>
    <t>40041-201</t>
  </si>
  <si>
    <t>40042-601</t>
  </si>
  <si>
    <t xml:space="preserve">$24.50 Meter O &amp; M Fee-940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</si>
</sst>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_(&quot;$&quot;* #,##0_);_(&quot;$&quot;* \(#,##0\);_(&quot;$&quot;* &quot;-&quot;??_);_(@_)"/>
    <numFmt numFmtId="167" formatCode="_([$$-409]* #,##0_);_([$$-409]* \(#,##0\);_([$$-409]* &quot;-&quot;??_);_(@_)"/>
    <numFmt numFmtId="168" formatCode="_(* #,##0.00_);_(* \(#,##0.00\);_(* &quot;-&quot;_);_(@_)"/>
    <numFmt numFmtId="169" formatCode="_([$$-409]* #,##0.000_);_([$$-409]* \(#,##0.000\);_([$$-409]* &quot;-&quot;??_);_(@_)"/>
    <numFmt numFmtId="170" formatCode="_(* #,##0.000_);_(* \(#,##0.000\);_(* &quot;-&quot;??_);_(@_)"/>
    <numFmt numFmtId="171" formatCode="_(* #,##0.000_);_(* \(#,##0.000\);_(* &quot;-&quot;_);_(@_)"/>
    <numFmt numFmtId="172" formatCode="_([$$-409]* #,##0.00_);_([$$-409]* \(#,##0.00\);_([$$-409]* &quot;-&quot;??_);_(@_)"/>
    <numFmt numFmtId="173" formatCode="_(&quot;$&quot;* #,##0.00_);_(&quot;$&quot;* \(#,##0.00\);_(&quot;$&quot;* &quot;-&quot;_);_(@_)"/>
    <numFmt numFmtId="174" formatCode="_(* #,##0.0000_);_(* \(#,##0.0000\);_(* &quot;-&quot;????_);_(@_)"/>
    <numFmt numFmtId="175" formatCode="0.000%"/>
    <numFmt numFmtId="176" formatCode="0.000"/>
  </numFmts>
  <fonts count="78"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sz val="9"/>
      <color indexed="81"/>
      <name val="Tahoma"/>
      <family val="2"/>
    </font>
    <font>
      <b/>
      <sz val="11"/>
      <color theme="1"/>
      <name val="Calibri"/>
      <family val="2"/>
      <scheme val="minor"/>
    </font>
    <font>
      <sz val="12"/>
      <color theme="1"/>
      <name val="Times New Roman"/>
      <family val="1"/>
    </font>
    <font>
      <b/>
      <sz val="14"/>
      <color theme="1"/>
      <name val="Calibri"/>
      <family val="2"/>
      <scheme val="minor"/>
    </font>
    <font>
      <b/>
      <sz val="12"/>
      <color theme="1"/>
      <name val="Calibri"/>
      <family val="2"/>
      <scheme val="minor"/>
    </font>
    <font>
      <b/>
      <sz val="10"/>
      <name val="Arial"/>
      <family val="2"/>
    </font>
    <font>
      <b/>
      <sz val="12"/>
      <name val="Arial"/>
      <family val="2"/>
    </font>
    <font>
      <b/>
      <sz val="10"/>
      <color indexed="10"/>
      <name val="Arial"/>
      <family val="2"/>
    </font>
    <font>
      <sz val="10"/>
      <color indexed="10"/>
      <name val="Arial"/>
      <family val="2"/>
    </font>
    <font>
      <u/>
      <sz val="10"/>
      <color indexed="10"/>
      <name val="Arial"/>
      <family val="2"/>
    </font>
    <font>
      <i/>
      <sz val="10"/>
      <color rgb="FF0070C0"/>
      <name val="Arial"/>
      <family val="2"/>
    </font>
    <font>
      <sz val="11"/>
      <color theme="0"/>
      <name val="Calibri"/>
      <family val="2"/>
      <scheme val="minor"/>
    </font>
    <font>
      <b/>
      <sz val="12"/>
      <color theme="0"/>
      <name val="Calibri"/>
      <family val="2"/>
      <scheme val="minor"/>
    </font>
    <font>
      <sz val="10"/>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sz val="11"/>
      <name val="Calibri"/>
      <family val="2"/>
      <scheme val="minor"/>
    </font>
    <font>
      <b/>
      <sz val="12"/>
      <name val="Calibri"/>
      <family val="2"/>
      <scheme val="minor"/>
    </font>
    <font>
      <b/>
      <sz val="16"/>
      <name val="Calibri"/>
      <family val="2"/>
      <scheme val="minor"/>
    </font>
    <font>
      <sz val="10"/>
      <name val="Calibri"/>
      <family val="2"/>
      <scheme val="minor"/>
    </font>
    <font>
      <b/>
      <sz val="14"/>
      <color theme="1"/>
      <name val="Calibri"/>
      <family val="2"/>
      <scheme val="minor"/>
    </font>
    <font>
      <sz val="10"/>
      <color theme="0"/>
      <name val="Calibri"/>
      <family val="2"/>
      <scheme val="minor"/>
    </font>
    <font>
      <sz val="12"/>
      <color rgb="FFFFFFFF"/>
      <name val="Calibri"/>
      <family val="2"/>
    </font>
    <font>
      <b/>
      <sz val="12"/>
      <color rgb="FFFFFFFF"/>
      <name val="Calibri"/>
      <family val="2"/>
    </font>
    <font>
      <b/>
      <sz val="12"/>
      <color rgb="FF000000"/>
      <name val="Calibri"/>
      <family val="2"/>
    </font>
    <font>
      <sz val="12"/>
      <color rgb="FF000000"/>
      <name val="Calibri"/>
      <family val="2"/>
    </font>
    <font>
      <b/>
      <sz val="16"/>
      <color theme="1"/>
      <name val="Calibri"/>
      <family val="2"/>
      <scheme val="minor"/>
    </font>
    <font>
      <b/>
      <sz val="12"/>
      <color rgb="FFFF0000"/>
      <name val="Calibri"/>
      <family val="2"/>
    </font>
    <font>
      <sz val="12"/>
      <name val="Calibri"/>
      <family val="2"/>
      <scheme val="minor"/>
    </font>
    <font>
      <sz val="18"/>
      <name val="Calibri"/>
      <family val="2"/>
      <scheme val="minor"/>
    </font>
    <font>
      <sz val="14"/>
      <name val="Calibri"/>
      <family val="2"/>
      <scheme val="minor"/>
    </font>
    <font>
      <b/>
      <sz val="14"/>
      <name val="Calibri"/>
      <family val="2"/>
      <scheme val="minor"/>
    </font>
    <font>
      <b/>
      <vertAlign val="superscript"/>
      <sz val="14"/>
      <name val="Calibri"/>
      <family val="2"/>
    </font>
    <font>
      <sz val="12"/>
      <color theme="0"/>
      <name val="Calibri"/>
      <family val="2"/>
      <scheme val="minor"/>
    </font>
    <font>
      <b/>
      <i/>
      <sz val="10"/>
      <color theme="0"/>
      <name val="Calibri"/>
      <family val="2"/>
      <scheme val="minor"/>
    </font>
    <font>
      <b/>
      <i/>
      <sz val="10"/>
      <name val="Calibri"/>
      <family val="2"/>
      <scheme val="minor"/>
    </font>
    <font>
      <b/>
      <sz val="10"/>
      <name val="Calibri"/>
      <family val="2"/>
      <scheme val="minor"/>
    </font>
    <font>
      <b/>
      <i/>
      <sz val="10"/>
      <name val="Calibri"/>
      <family val="2"/>
    </font>
    <font>
      <sz val="22"/>
      <name val="Calibri"/>
      <family val="2"/>
      <scheme val="minor"/>
    </font>
    <font>
      <b/>
      <sz val="28"/>
      <name val="Calibri"/>
      <family val="2"/>
      <scheme val="minor"/>
    </font>
    <font>
      <b/>
      <sz val="10"/>
      <color indexed="9"/>
      <name val="Calibri"/>
      <family val="2"/>
      <scheme val="minor"/>
    </font>
    <font>
      <b/>
      <vertAlign val="superscript"/>
      <sz val="10"/>
      <color indexed="9"/>
      <name val="Calibri"/>
      <family val="2"/>
    </font>
    <font>
      <sz val="10"/>
      <color indexed="8"/>
      <name val="Calibri"/>
      <family val="2"/>
      <scheme val="minor"/>
    </font>
    <font>
      <sz val="10"/>
      <color indexed="9"/>
      <name val="Calibri"/>
      <family val="2"/>
      <scheme val="minor"/>
    </font>
    <font>
      <b/>
      <i/>
      <sz val="14"/>
      <name val="Arial"/>
      <family val="2"/>
    </font>
    <font>
      <b/>
      <i/>
      <sz val="16"/>
      <name val="Arial"/>
      <family val="2"/>
    </font>
    <font>
      <b/>
      <sz val="14"/>
      <name val="Arial"/>
      <family val="2"/>
    </font>
    <font>
      <b/>
      <sz val="16"/>
      <color theme="0"/>
      <name val="Calibri"/>
      <family val="2"/>
      <scheme val="minor"/>
    </font>
    <font>
      <sz val="16"/>
      <color theme="0"/>
      <name val="Calibri"/>
      <family val="2"/>
      <scheme val="minor"/>
    </font>
    <font>
      <sz val="16"/>
      <name val="Calibri"/>
      <family val="2"/>
      <scheme val="minor"/>
    </font>
    <font>
      <b/>
      <sz val="14"/>
      <color theme="0"/>
      <name val="Calibri"/>
      <family val="2"/>
      <scheme val="minor"/>
    </font>
    <font>
      <vertAlign val="superscript"/>
      <sz val="16"/>
      <name val="Calibri"/>
      <family val="2"/>
    </font>
    <font>
      <sz val="16"/>
      <name val="Calibri"/>
      <family val="2"/>
    </font>
    <font>
      <b/>
      <sz val="18"/>
      <name val="Calibri"/>
      <family val="2"/>
      <scheme val="minor"/>
    </font>
    <font>
      <b/>
      <i/>
      <sz val="18"/>
      <name val="Arial"/>
      <family val="2"/>
    </font>
    <font>
      <b/>
      <sz val="18"/>
      <name val="Arial"/>
      <family val="2"/>
    </font>
    <font>
      <b/>
      <i/>
      <sz val="18"/>
      <name val="Calibri"/>
      <family val="2"/>
      <scheme val="minor"/>
    </font>
    <font>
      <b/>
      <sz val="18"/>
      <color theme="3" tint="0.39997558519241921"/>
      <name val="Calibri"/>
      <family val="2"/>
      <scheme val="minor"/>
    </font>
    <font>
      <b/>
      <sz val="18"/>
      <color theme="3" tint="-0.249977111117893"/>
      <name val="Calibri"/>
      <family val="2"/>
      <scheme val="minor"/>
    </font>
    <font>
      <b/>
      <sz val="18"/>
      <color rgb="FF002060"/>
      <name val="Calibri"/>
      <family val="2"/>
      <scheme val="minor"/>
    </font>
    <font>
      <b/>
      <sz val="18"/>
      <color theme="0"/>
      <name val="Calibri"/>
      <family val="2"/>
      <scheme val="minor"/>
    </font>
    <font>
      <sz val="8"/>
      <name val="Calibri"/>
      <family val="2"/>
      <scheme val="minor"/>
    </font>
    <font>
      <b/>
      <sz val="20"/>
      <color rgb="FF0070C0"/>
      <name val="Calibri"/>
      <family val="2"/>
      <scheme val="minor"/>
    </font>
    <font>
      <sz val="8"/>
      <name val="Arial"/>
      <family val="2"/>
    </font>
    <font>
      <sz val="8"/>
      <color indexed="8"/>
      <name val="Arial"/>
      <family val="2"/>
    </font>
    <font>
      <b/>
      <sz val="8"/>
      <color indexed="12"/>
      <name val="Arial"/>
      <family val="2"/>
    </font>
    <font>
      <b/>
      <sz val="8"/>
      <name val="Arial"/>
      <family val="2"/>
    </font>
    <font>
      <b/>
      <sz val="8"/>
      <color indexed="10"/>
      <name val="ARIAL"/>
      <family val="2"/>
    </font>
    <font>
      <b/>
      <sz val="8"/>
      <color indexed="58"/>
      <name val="Arial"/>
      <family val="2"/>
    </font>
    <font>
      <b/>
      <u/>
      <sz val="8"/>
      <name val="Arial"/>
      <family val="2"/>
    </font>
    <font>
      <sz val="8"/>
      <color indexed="12"/>
      <name val="Arial"/>
      <family val="2"/>
    </font>
    <font>
      <b/>
      <i/>
      <sz val="18"/>
      <color theme="3"/>
      <name val="Calibri"/>
      <family val="2"/>
      <scheme val="minor"/>
    </font>
    <font>
      <b/>
      <sz val="18"/>
      <color theme="8" tint="-0.249977111117893"/>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A0C34"/>
        <bgColor indexed="64"/>
      </patternFill>
    </fill>
    <fill>
      <patternFill patternType="solid">
        <fgColor rgb="FFC65911"/>
        <bgColor indexed="64"/>
      </patternFill>
    </fill>
    <fill>
      <patternFill patternType="solid">
        <fgColor rgb="FFE7E6E6"/>
        <bgColor indexed="64"/>
      </patternFill>
    </fill>
    <fill>
      <patternFill patternType="solid">
        <fgColor rgb="FFD9E1F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24994659260841701"/>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5"/>
        <bgColor indexed="64"/>
      </patternFill>
    </fill>
    <fill>
      <patternFill patternType="solid">
        <fgColor theme="2" tint="-0.499984740745262"/>
        <bgColor indexed="64"/>
      </patternFill>
    </fill>
    <fill>
      <patternFill patternType="solid">
        <fgColor theme="9" tint="-0.49998474074526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indexed="65"/>
        <bgColor indexed="8"/>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7" tint="0.39997558519241921"/>
        <bgColor indexed="64"/>
      </patternFill>
    </fill>
  </fills>
  <borders count="139">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thin">
        <color indexed="64"/>
      </bottom>
      <diagonal/>
    </border>
    <border>
      <left/>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ck">
        <color auto="1"/>
      </bottom>
      <diagonal/>
    </border>
    <border>
      <left style="medium">
        <color auto="1"/>
      </left>
      <right style="thin">
        <color auto="1"/>
      </right>
      <top/>
      <bottom style="thin">
        <color indexed="64"/>
      </bottom>
      <diagonal/>
    </border>
    <border>
      <left style="thick">
        <color auto="1"/>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style="thin">
        <color auto="1"/>
      </left>
      <right style="thin">
        <color auto="1"/>
      </right>
      <top/>
      <bottom style="thin">
        <color auto="1"/>
      </bottom>
      <diagonal/>
    </border>
    <border>
      <left style="thick">
        <color auto="1"/>
      </left>
      <right style="thin">
        <color auto="1"/>
      </right>
      <top style="thin">
        <color auto="1"/>
      </top>
      <bottom/>
      <diagonal/>
    </border>
    <border>
      <left/>
      <right style="thick">
        <color auto="1"/>
      </right>
      <top/>
      <bottom/>
      <diagonal/>
    </border>
    <border>
      <left/>
      <right style="thin">
        <color auto="1"/>
      </right>
      <top style="thin">
        <color auto="1"/>
      </top>
      <bottom style="thin">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auto="1"/>
      </right>
      <top style="thick">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ck">
        <color rgb="FF000000"/>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auto="1"/>
      </left>
      <right style="dashed">
        <color auto="1"/>
      </right>
      <top style="dashed">
        <color auto="1"/>
      </top>
      <bottom/>
      <diagonal/>
    </border>
    <border>
      <left style="dashed">
        <color auto="1"/>
      </left>
      <right style="dashed">
        <color auto="1"/>
      </right>
      <top style="thick">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dashDot">
        <color indexed="64"/>
      </left>
      <right style="dashDot">
        <color indexed="64"/>
      </right>
      <top style="dashDot">
        <color indexed="64"/>
      </top>
      <bottom style="dashDot">
        <color indexed="64"/>
      </bottom>
      <diagonal/>
    </border>
    <border>
      <left style="dashed">
        <color auto="1"/>
      </left>
      <right style="medium">
        <color indexed="64"/>
      </right>
      <top style="dashed">
        <color auto="1"/>
      </top>
      <bottom/>
      <diagonal/>
    </border>
    <border>
      <left style="medium">
        <color indexed="64"/>
      </left>
      <right style="dashDot">
        <color indexed="64"/>
      </right>
      <top style="dashDot">
        <color indexed="64"/>
      </top>
      <bottom style="medium">
        <color indexed="64"/>
      </bottom>
      <diagonal/>
    </border>
    <border>
      <left/>
      <right style="dashDot">
        <color indexed="64"/>
      </right>
      <top style="dashDot">
        <color indexed="64"/>
      </top>
      <bottom style="dashDot">
        <color indexed="64"/>
      </bottom>
      <diagonal/>
    </border>
    <border>
      <left style="medium">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medium">
        <color indexed="64"/>
      </bottom>
      <diagonal/>
    </border>
    <border>
      <left style="thin">
        <color indexed="64"/>
      </left>
      <right/>
      <top style="medium">
        <color indexed="64"/>
      </top>
      <bottom/>
      <diagonal/>
    </border>
    <border>
      <left style="dashed">
        <color auto="1"/>
      </left>
      <right/>
      <top style="thick">
        <color auto="1"/>
      </top>
      <bottom style="dashed">
        <color auto="1"/>
      </bottom>
      <diagonal/>
    </border>
    <border>
      <left style="dashed">
        <color auto="1"/>
      </left>
      <right/>
      <top style="dashed">
        <color auto="1"/>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style="thin">
        <color indexed="64"/>
      </left>
      <right/>
      <top/>
      <bottom style="medium">
        <color indexed="64"/>
      </bottom>
      <diagonal/>
    </border>
    <border>
      <left/>
      <right style="dashed">
        <color indexed="64"/>
      </right>
      <top style="dashed">
        <color indexed="64"/>
      </top>
      <bottom style="dashed">
        <color indexed="64"/>
      </bottom>
      <diagonal/>
    </border>
    <border>
      <left/>
      <right style="dashed">
        <color auto="1"/>
      </right>
      <top style="thick">
        <color auto="1"/>
      </top>
      <bottom style="dashed">
        <color auto="1"/>
      </bottom>
      <diagonal/>
    </border>
    <border>
      <left/>
      <right style="dashed">
        <color auto="1"/>
      </right>
      <top style="dashed">
        <color auto="1"/>
      </top>
      <bottom/>
      <diagonal/>
    </border>
    <border>
      <left style="thick">
        <color indexed="64"/>
      </left>
      <right style="thick">
        <color indexed="64"/>
      </right>
      <top style="dashed">
        <color indexed="64"/>
      </top>
      <bottom style="dashed">
        <color indexed="64"/>
      </bottom>
      <diagonal/>
    </border>
    <border>
      <left style="thick">
        <color indexed="64"/>
      </left>
      <right style="thick">
        <color indexed="64"/>
      </right>
      <top style="thick">
        <color auto="1"/>
      </top>
      <bottom style="dashed">
        <color auto="1"/>
      </bottom>
      <diagonal/>
    </border>
    <border>
      <left style="thick">
        <color indexed="64"/>
      </left>
      <right style="thick">
        <color indexed="64"/>
      </right>
      <top style="dashed">
        <color auto="1"/>
      </top>
      <bottom/>
      <diagonal/>
    </border>
    <border>
      <left style="thick">
        <color indexed="64"/>
      </left>
      <right style="thick">
        <color indexed="64"/>
      </right>
      <top style="dashDot">
        <color indexed="64"/>
      </top>
      <bottom style="dashDot">
        <color indexed="64"/>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dashDot">
        <color indexed="64"/>
      </left>
      <right style="thick">
        <color indexed="64"/>
      </right>
      <top style="dashDot">
        <color indexed="64"/>
      </top>
      <bottom style="dashDot">
        <color indexed="64"/>
      </bottom>
      <diagonal/>
    </border>
    <border>
      <left style="thick">
        <color indexed="64"/>
      </left>
      <right style="dashDot">
        <color indexed="64"/>
      </right>
      <top style="dashDot">
        <color indexed="64"/>
      </top>
      <bottom style="dashDot">
        <color indexed="64"/>
      </bottom>
      <diagonal/>
    </border>
    <border>
      <left/>
      <right style="thick">
        <color auto="1"/>
      </right>
      <top/>
      <bottom style="thin">
        <color auto="1"/>
      </bottom>
      <diagonal/>
    </border>
    <border>
      <left/>
      <right style="thin">
        <color indexed="64"/>
      </right>
      <top style="thin">
        <color auto="1"/>
      </top>
      <bottom style="thick">
        <color auto="1"/>
      </bottom>
      <diagonal/>
    </border>
    <border>
      <left style="thick">
        <color auto="1"/>
      </left>
      <right/>
      <top style="thin">
        <color auto="1"/>
      </top>
      <bottom style="thick">
        <color auto="1"/>
      </bottom>
      <diagonal/>
    </border>
    <border>
      <left style="thick">
        <color auto="1"/>
      </left>
      <right style="thick">
        <color auto="1"/>
      </right>
      <top/>
      <bottom style="thin">
        <color auto="1"/>
      </bottom>
      <diagonal/>
    </border>
    <border>
      <left/>
      <right/>
      <top/>
      <bottom style="thick">
        <color auto="1"/>
      </bottom>
      <diagonal/>
    </border>
    <border>
      <left/>
      <right style="medium">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style="dashed">
        <color indexed="64"/>
      </bottom>
      <diagonal/>
    </border>
    <border>
      <left/>
      <right style="thin">
        <color indexed="64"/>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medium">
        <color indexed="64"/>
      </top>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thin">
        <color auto="1"/>
      </top>
      <bottom/>
      <diagonal/>
    </border>
    <border>
      <left style="thick">
        <color auto="1"/>
      </left>
      <right style="thin">
        <color auto="1"/>
      </right>
      <top/>
      <bottom style="thick">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992">
    <xf numFmtId="0" fontId="0" fillId="0" borderId="0" xfId="0"/>
    <xf numFmtId="43" fontId="0" fillId="0" borderId="0" xfId="1" applyFont="1"/>
    <xf numFmtId="0" fontId="6" fillId="0" borderId="0" xfId="0" applyFont="1"/>
    <xf numFmtId="43" fontId="6" fillId="0" borderId="0" xfId="1" applyFont="1"/>
    <xf numFmtId="43" fontId="6" fillId="0" borderId="0" xfId="1" quotePrefix="1" applyFont="1"/>
    <xf numFmtId="43" fontId="6" fillId="0" borderId="11" xfId="1" applyFont="1" applyBorder="1"/>
    <xf numFmtId="43" fontId="6" fillId="0" borderId="10" xfId="1" applyFont="1" applyBorder="1"/>
    <xf numFmtId="43" fontId="0" fillId="0" borderId="0" xfId="0" applyNumberFormat="1" applyFill="1"/>
    <xf numFmtId="0" fontId="9" fillId="0" borderId="0" xfId="0" applyFont="1" applyFill="1"/>
    <xf numFmtId="0" fontId="0" fillId="0" borderId="0" xfId="0" applyFill="1"/>
    <xf numFmtId="0" fontId="0" fillId="0" borderId="0" xfId="0" applyFill="1" applyBorder="1"/>
    <xf numFmtId="2" fontId="9" fillId="0" borderId="0" xfId="0" applyNumberFormat="1" applyFont="1" applyFill="1" applyAlignment="1">
      <alignment horizontal="right"/>
    </xf>
    <xf numFmtId="2" fontId="9" fillId="0" borderId="0" xfId="0" applyNumberFormat="1" applyFont="1" applyFill="1" applyAlignment="1">
      <alignment horizontal="left"/>
    </xf>
    <xf numFmtId="0" fontId="10" fillId="0" borderId="0" xfId="0" applyFont="1" applyFill="1" applyAlignment="1">
      <alignment horizontal="left"/>
    </xf>
    <xf numFmtId="0" fontId="11" fillId="0" borderId="0" xfId="0" applyFont="1" applyFill="1"/>
    <xf numFmtId="0" fontId="0" fillId="0" borderId="15" xfId="0" applyFill="1" applyBorder="1"/>
    <xf numFmtId="0" fontId="0" fillId="0" borderId="14" xfId="0" applyFill="1" applyBorder="1"/>
    <xf numFmtId="0" fontId="0" fillId="0" borderId="16" xfId="0" applyFill="1" applyBorder="1"/>
    <xf numFmtId="0" fontId="9" fillId="0" borderId="0" xfId="0" applyFont="1" applyFill="1" applyBorder="1" applyAlignment="1">
      <alignment horizontal="center"/>
    </xf>
    <xf numFmtId="0" fontId="0" fillId="0" borderId="0" xfId="0" applyFill="1" applyAlignment="1">
      <alignment horizontal="center"/>
    </xf>
    <xf numFmtId="0" fontId="13" fillId="0" borderId="0" xfId="4" applyFont="1" applyFill="1" applyBorder="1" applyAlignment="1" applyProtection="1">
      <alignment horizontal="center"/>
    </xf>
    <xf numFmtId="0" fontId="2" fillId="0" borderId="0" xfId="0" applyFont="1" applyFill="1" applyAlignment="1">
      <alignment horizontal="center"/>
    </xf>
    <xf numFmtId="0" fontId="0" fillId="0" borderId="13" xfId="0" applyFill="1" applyBorder="1" applyAlignment="1">
      <alignment horizontal="center"/>
    </xf>
    <xf numFmtId="0" fontId="0" fillId="0" borderId="13" xfId="0" applyFill="1" applyBorder="1"/>
    <xf numFmtId="0" fontId="0" fillId="0" borderId="17" xfId="0" applyFill="1" applyBorder="1"/>
    <xf numFmtId="0" fontId="2" fillId="0" borderId="13" xfId="0" applyFont="1" applyFill="1" applyBorder="1" applyAlignment="1">
      <alignment horizontal="center"/>
    </xf>
    <xf numFmtId="0" fontId="9" fillId="0" borderId="18" xfId="0" applyFont="1" applyFill="1" applyBorder="1" applyAlignment="1">
      <alignment horizontal="center"/>
    </xf>
    <xf numFmtId="0" fontId="9" fillId="0" borderId="10" xfId="0" applyFont="1" applyFill="1" applyBorder="1" applyAlignment="1">
      <alignment horizontal="center"/>
    </xf>
    <xf numFmtId="0" fontId="9" fillId="0" borderId="19" xfId="0" applyFont="1" applyFill="1" applyBorder="1" applyAlignment="1">
      <alignment horizontal="center"/>
    </xf>
    <xf numFmtId="37" fontId="0" fillId="0" borderId="0" xfId="0" applyNumberFormat="1" applyFill="1" applyBorder="1"/>
    <xf numFmtId="37" fontId="0" fillId="0" borderId="13" xfId="0" applyNumberFormat="1" applyFill="1" applyBorder="1"/>
    <xf numFmtId="37" fontId="0" fillId="0" borderId="17" xfId="0" applyNumberFormat="1" applyFill="1" applyBorder="1"/>
    <xf numFmtId="0" fontId="11" fillId="0" borderId="0" xfId="0" applyFont="1" applyFill="1" applyBorder="1" applyAlignment="1">
      <alignment horizontal="center"/>
    </xf>
    <xf numFmtId="0" fontId="11" fillId="0" borderId="13" xfId="0" applyFont="1" applyFill="1" applyBorder="1" applyAlignment="1">
      <alignment horizontal="center"/>
    </xf>
    <xf numFmtId="0" fontId="11" fillId="0" borderId="17" xfId="0" applyFont="1" applyFill="1" applyBorder="1" applyAlignment="1">
      <alignment horizontal="center"/>
    </xf>
    <xf numFmtId="43" fontId="0" fillId="0" borderId="13" xfId="0" applyNumberFormat="1" applyFill="1" applyBorder="1"/>
    <xf numFmtId="43" fontId="0" fillId="0" borderId="0" xfId="0" applyNumberFormat="1" applyFill="1" applyBorder="1"/>
    <xf numFmtId="43" fontId="0" fillId="0" borderId="17" xfId="0" applyNumberFormat="1" applyFill="1" applyBorder="1"/>
    <xf numFmtId="43" fontId="2" fillId="0" borderId="0" xfId="0" applyNumberFormat="1" applyFont="1" applyFill="1"/>
    <xf numFmtId="43" fontId="0" fillId="0" borderId="18" xfId="0" applyNumberFormat="1" applyFill="1" applyBorder="1"/>
    <xf numFmtId="43" fontId="0" fillId="0" borderId="10" xfId="0" applyNumberFormat="1" applyFill="1" applyBorder="1"/>
    <xf numFmtId="43" fontId="0" fillId="0" borderId="19" xfId="0" applyNumberFormat="1" applyFill="1" applyBorder="1"/>
    <xf numFmtId="43" fontId="0" fillId="0" borderId="12" xfId="0" applyNumberFormat="1" applyFill="1" applyBorder="1"/>
    <xf numFmtId="37" fontId="9" fillId="0" borderId="0" xfId="0" applyNumberFormat="1" applyFont="1" applyFill="1" applyBorder="1"/>
    <xf numFmtId="43" fontId="9" fillId="0" borderId="13" xfId="0" applyNumberFormat="1" applyFont="1" applyFill="1" applyBorder="1"/>
    <xf numFmtId="43" fontId="9" fillId="0" borderId="0" xfId="0" applyNumberFormat="1" applyFont="1" applyFill="1" applyBorder="1"/>
    <xf numFmtId="43" fontId="9" fillId="0" borderId="19" xfId="0" applyNumberFormat="1" applyFont="1" applyFill="1" applyBorder="1"/>
    <xf numFmtId="43" fontId="9" fillId="0" borderId="18" xfId="0" applyNumberFormat="1" applyFont="1" applyFill="1" applyBorder="1"/>
    <xf numFmtId="43" fontId="9" fillId="0" borderId="17" xfId="0" applyNumberFormat="1" applyFont="1" applyFill="1" applyBorder="1"/>
    <xf numFmtId="43" fontId="0" fillId="0" borderId="15" xfId="0" applyNumberFormat="1" applyFill="1" applyBorder="1"/>
    <xf numFmtId="43" fontId="0" fillId="0" borderId="14" xfId="0" applyNumberFormat="1" applyFill="1" applyBorder="1"/>
    <xf numFmtId="43" fontId="0" fillId="0" borderId="16" xfId="0" applyNumberFormat="1" applyFill="1" applyBorder="1"/>
    <xf numFmtId="43" fontId="0" fillId="0" borderId="20" xfId="0" applyNumberFormat="1" applyFill="1" applyBorder="1"/>
    <xf numFmtId="43" fontId="0" fillId="0" borderId="21" xfId="0" applyNumberFormat="1" applyFill="1" applyBorder="1"/>
    <xf numFmtId="43" fontId="0" fillId="0" borderId="22" xfId="0" applyNumberFormat="1" applyFill="1" applyBorder="1"/>
    <xf numFmtId="0" fontId="14" fillId="0" borderId="0" xfId="0" applyFont="1" applyFill="1" applyAlignment="1">
      <alignment horizontal="center"/>
    </xf>
    <xf numFmtId="39" fontId="0" fillId="0" borderId="0" xfId="0" applyNumberFormat="1" applyFill="1"/>
    <xf numFmtId="0" fontId="9" fillId="0" borderId="0" xfId="0" applyFont="1" applyFill="1" applyBorder="1"/>
    <xf numFmtId="43" fontId="1" fillId="0" borderId="0" xfId="1" applyFill="1"/>
    <xf numFmtId="0" fontId="0" fillId="0" borderId="0" xfId="0" applyFill="1" applyAlignment="1">
      <alignment horizontal="left"/>
    </xf>
    <xf numFmtId="0" fontId="0" fillId="0" borderId="0" xfId="0" applyBorder="1"/>
    <xf numFmtId="0" fontId="0" fillId="2" borderId="23" xfId="0" applyFill="1" applyBorder="1"/>
    <xf numFmtId="0" fontId="0" fillId="2" borderId="0" xfId="0" applyFill="1" applyBorder="1"/>
    <xf numFmtId="0" fontId="8" fillId="2" borderId="0" xfId="0" applyFont="1" applyFill="1" applyBorder="1"/>
    <xf numFmtId="0" fontId="8" fillId="2" borderId="23" xfId="0" applyFont="1" applyFill="1" applyBorder="1"/>
    <xf numFmtId="0" fontId="8" fillId="2" borderId="0" xfId="0" applyFont="1" applyFill="1" applyBorder="1" applyAlignment="1">
      <alignment horizontal="center"/>
    </xf>
    <xf numFmtId="0" fontId="0" fillId="0" borderId="24" xfId="0" applyBorder="1"/>
    <xf numFmtId="0" fontId="0" fillId="0" borderId="25" xfId="0" applyBorder="1" applyAlignment="1">
      <alignment horizontal="center"/>
    </xf>
    <xf numFmtId="44" fontId="0" fillId="0" borderId="25" xfId="2" applyFont="1" applyBorder="1" applyAlignment="1">
      <alignment horizontal="center"/>
    </xf>
    <xf numFmtId="44" fontId="0" fillId="0" borderId="25" xfId="2" applyFont="1" applyBorder="1"/>
    <xf numFmtId="44" fontId="1" fillId="0" borderId="25" xfId="2" applyFont="1" applyBorder="1"/>
    <xf numFmtId="44" fontId="0" fillId="0" borderId="26" xfId="0" applyNumberFormat="1" applyBorder="1"/>
    <xf numFmtId="0" fontId="0" fillId="0" borderId="27" xfId="0" applyBorder="1"/>
    <xf numFmtId="0" fontId="0" fillId="0" borderId="5" xfId="0" applyBorder="1" applyAlignment="1">
      <alignment horizontal="center"/>
    </xf>
    <xf numFmtId="44" fontId="0" fillId="0" borderId="5" xfId="2" applyFont="1" applyBorder="1" applyAlignment="1">
      <alignment horizontal="center"/>
    </xf>
    <xf numFmtId="44" fontId="0" fillId="0" borderId="5" xfId="2" applyFont="1" applyBorder="1"/>
    <xf numFmtId="44" fontId="1" fillId="0" borderId="5" xfId="2" applyFont="1" applyBorder="1"/>
    <xf numFmtId="44" fontId="0" fillId="0" borderId="28" xfId="0" applyNumberFormat="1" applyBorder="1"/>
    <xf numFmtId="0" fontId="0" fillId="0" borderId="29" xfId="0" applyBorder="1"/>
    <xf numFmtId="0" fontId="0" fillId="0" borderId="30" xfId="0" applyBorder="1" applyAlignment="1">
      <alignment horizontal="center"/>
    </xf>
    <xf numFmtId="44" fontId="0" fillId="0" borderId="30" xfId="2" applyFont="1" applyBorder="1" applyAlignment="1">
      <alignment horizontal="center"/>
    </xf>
    <xf numFmtId="44" fontId="0" fillId="0" borderId="30" xfId="2" applyFont="1" applyBorder="1"/>
    <xf numFmtId="44" fontId="1" fillId="0" borderId="30" xfId="2" applyFont="1" applyBorder="1"/>
    <xf numFmtId="44" fontId="0" fillId="0" borderId="31" xfId="0" applyNumberFormat="1" applyBorder="1"/>
    <xf numFmtId="0" fontId="5" fillId="0" borderId="0" xfId="0" applyFont="1"/>
    <xf numFmtId="44" fontId="5" fillId="0" borderId="0" xfId="0" applyNumberFormat="1" applyFont="1"/>
    <xf numFmtId="44" fontId="5" fillId="0" borderId="0" xfId="0" applyNumberFormat="1" applyFont="1" applyFill="1" applyBorder="1"/>
    <xf numFmtId="0" fontId="16" fillId="3" borderId="0" xfId="0" applyFont="1" applyFill="1" applyBorder="1"/>
    <xf numFmtId="0" fontId="15" fillId="3" borderId="0" xfId="0" applyFont="1" applyFill="1"/>
    <xf numFmtId="0" fontId="0" fillId="0" borderId="23" xfId="0" applyBorder="1"/>
    <xf numFmtId="10" fontId="0" fillId="0" borderId="0" xfId="0" applyNumberFormat="1"/>
    <xf numFmtId="44" fontId="0" fillId="0" borderId="0" xfId="2" applyFont="1"/>
    <xf numFmtId="44" fontId="0" fillId="0" borderId="0" xfId="0" applyNumberFormat="1"/>
    <xf numFmtId="0" fontId="0" fillId="2" borderId="4" xfId="0"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32" xfId="0" applyFill="1" applyBorder="1" applyAlignment="1">
      <alignment horizontal="center"/>
    </xf>
    <xf numFmtId="0" fontId="0" fillId="2" borderId="27" xfId="0" applyFill="1" applyBorder="1"/>
    <xf numFmtId="0" fontId="0" fillId="2" borderId="33" xfId="0" applyFill="1" applyBorder="1"/>
    <xf numFmtId="0" fontId="0" fillId="2" borderId="34" xfId="0" applyFill="1" applyBorder="1"/>
    <xf numFmtId="0" fontId="0" fillId="2" borderId="36" xfId="0" applyFill="1" applyBorder="1"/>
    <xf numFmtId="44" fontId="0" fillId="2" borderId="5" xfId="2" applyFont="1" applyFill="1" applyBorder="1"/>
    <xf numFmtId="44" fontId="0" fillId="2" borderId="32" xfId="2" applyFont="1" applyFill="1" applyBorder="1"/>
    <xf numFmtId="44" fontId="0" fillId="2" borderId="35" xfId="2" applyFont="1" applyFill="1" applyBorder="1"/>
    <xf numFmtId="44" fontId="0" fillId="2" borderId="15" xfId="2" applyFont="1" applyFill="1" applyBorder="1"/>
    <xf numFmtId="44" fontId="0" fillId="2" borderId="8" xfId="2" applyFont="1" applyFill="1" applyBorder="1"/>
    <xf numFmtId="44" fontId="7" fillId="0" borderId="0" xfId="0" applyNumberFormat="1" applyFont="1"/>
    <xf numFmtId="0" fontId="5" fillId="2" borderId="25" xfId="0" applyFont="1" applyFill="1" applyBorder="1" applyAlignment="1">
      <alignment horizontal="center"/>
    </xf>
    <xf numFmtId="0" fontId="0" fillId="0" borderId="5" xfId="0" applyBorder="1"/>
    <xf numFmtId="0" fontId="0" fillId="0" borderId="4" xfId="0" applyBorder="1"/>
    <xf numFmtId="0" fontId="0" fillId="0" borderId="5" xfId="0" applyBorder="1" applyAlignment="1">
      <alignment horizontal="center"/>
    </xf>
    <xf numFmtId="44" fontId="0" fillId="0" borderId="5" xfId="2" applyFont="1" applyBorder="1" applyAlignment="1">
      <alignment horizontal="center"/>
    </xf>
    <xf numFmtId="44" fontId="0" fillId="0" borderId="5" xfId="2" applyFont="1" applyBorder="1"/>
    <xf numFmtId="44" fontId="1" fillId="0" borderId="5" xfId="2" applyFont="1" applyBorder="1"/>
    <xf numFmtId="44" fontId="0" fillId="0" borderId="0" xfId="0" applyNumberFormat="1"/>
    <xf numFmtId="0" fontId="0" fillId="2" borderId="2" xfId="0" applyFill="1" applyBorder="1" applyAlignment="1">
      <alignment horizontal="center"/>
    </xf>
    <xf numFmtId="0" fontId="0" fillId="2" borderId="3" xfId="0" applyFill="1" applyBorder="1" applyAlignment="1">
      <alignment horizontal="center"/>
    </xf>
    <xf numFmtId="9" fontId="0" fillId="2" borderId="5" xfId="3" applyFont="1" applyFill="1" applyBorder="1"/>
    <xf numFmtId="9" fontId="0" fillId="2" borderId="6" xfId="0" applyNumberFormat="1" applyFill="1" applyBorder="1"/>
    <xf numFmtId="10" fontId="0" fillId="2" borderId="5" xfId="3" applyNumberFormat="1" applyFont="1" applyFill="1" applyBorder="1"/>
    <xf numFmtId="10" fontId="0" fillId="2" borderId="8" xfId="3" applyNumberFormat="1" applyFont="1" applyFill="1" applyBorder="1"/>
    <xf numFmtId="9" fontId="0" fillId="2" borderId="8" xfId="3" applyFont="1" applyFill="1" applyBorder="1"/>
    <xf numFmtId="9" fontId="0" fillId="2" borderId="9" xfId="0" applyNumberFormat="1" applyFill="1" applyBorder="1"/>
    <xf numFmtId="0" fontId="5" fillId="2" borderId="12" xfId="0" applyFont="1" applyFill="1" applyBorder="1" applyAlignment="1">
      <alignment horizontal="center"/>
    </xf>
    <xf numFmtId="0" fontId="5" fillId="2" borderId="0" xfId="0" applyFont="1" applyFill="1"/>
    <xf numFmtId="0" fontId="0" fillId="0" borderId="1" xfId="0" applyBorder="1"/>
    <xf numFmtId="0" fontId="0" fillId="0" borderId="2" xfId="0" applyBorder="1" applyAlignment="1">
      <alignment horizontal="center"/>
    </xf>
    <xf numFmtId="44" fontId="0" fillId="0" borderId="2" xfId="2" applyFont="1" applyBorder="1" applyAlignment="1">
      <alignment horizontal="center"/>
    </xf>
    <xf numFmtId="44" fontId="0" fillId="0" borderId="2" xfId="2" applyFont="1" applyBorder="1"/>
    <xf numFmtId="44" fontId="0" fillId="0" borderId="2" xfId="0" applyNumberFormat="1" applyBorder="1"/>
    <xf numFmtId="44" fontId="1" fillId="0" borderId="2" xfId="2" applyFont="1" applyBorder="1"/>
    <xf numFmtId="44" fontId="0" fillId="0" borderId="3" xfId="0" applyNumberFormat="1" applyBorder="1"/>
    <xf numFmtId="44" fontId="0" fillId="0" borderId="5" xfId="0" applyNumberFormat="1" applyBorder="1"/>
    <xf numFmtId="44" fontId="0" fillId="0" borderId="6" xfId="0" applyNumberFormat="1" applyBorder="1"/>
    <xf numFmtId="0" fontId="0" fillId="0" borderId="7" xfId="0" applyBorder="1"/>
    <xf numFmtId="0" fontId="0" fillId="0" borderId="8" xfId="0" applyBorder="1"/>
    <xf numFmtId="0" fontId="5" fillId="0" borderId="8" xfId="0" applyFont="1" applyBorder="1"/>
    <xf numFmtId="44" fontId="5" fillId="0" borderId="8" xfId="0" applyNumberFormat="1" applyFont="1" applyBorder="1"/>
    <xf numFmtId="44" fontId="5" fillId="0" borderId="9" xfId="0" applyNumberFormat="1" applyFont="1" applyFill="1" applyBorder="1"/>
    <xf numFmtId="44" fontId="5" fillId="2" borderId="8" xfId="0" applyNumberFormat="1" applyFont="1" applyFill="1" applyBorder="1"/>
    <xf numFmtId="44" fontId="5" fillId="2" borderId="8" xfId="0" applyNumberFormat="1" applyFont="1" applyFill="1" applyBorder="1"/>
    <xf numFmtId="0" fontId="0" fillId="3" borderId="33" xfId="0" applyFill="1" applyBorder="1"/>
    <xf numFmtId="0" fontId="0" fillId="2" borderId="38" xfId="0" applyFill="1" applyBorder="1"/>
    <xf numFmtId="0" fontId="0" fillId="2" borderId="37" xfId="0" applyFill="1" applyBorder="1"/>
    <xf numFmtId="44" fontId="5" fillId="0" borderId="40" xfId="0" applyNumberFormat="1" applyFont="1" applyBorder="1"/>
    <xf numFmtId="0" fontId="8" fillId="2" borderId="39" xfId="0" applyFont="1" applyFill="1" applyBorder="1"/>
    <xf numFmtId="0" fontId="0" fillId="0" borderId="6" xfId="0" applyBorder="1"/>
    <xf numFmtId="44" fontId="0" fillId="0" borderId="6" xfId="2" applyFont="1" applyBorder="1"/>
    <xf numFmtId="44" fontId="8" fillId="0" borderId="8" xfId="0" applyNumberFormat="1" applyFont="1" applyBorder="1"/>
    <xf numFmtId="44" fontId="8" fillId="0" borderId="9" xfId="0" applyNumberFormat="1" applyFont="1" applyBorder="1"/>
    <xf numFmtId="0" fontId="5" fillId="0" borderId="1" xfId="0" applyFont="1" applyBorder="1"/>
    <xf numFmtId="0" fontId="5" fillId="0" borderId="2" xfId="0" applyFont="1" applyBorder="1"/>
    <xf numFmtId="0" fontId="5" fillId="0" borderId="3" xfId="0" applyFont="1" applyBorder="1"/>
    <xf numFmtId="44" fontId="0" fillId="0" borderId="5" xfId="2" applyFont="1" applyFill="1" applyBorder="1"/>
    <xf numFmtId="0" fontId="18" fillId="0" borderId="0" xfId="0" applyFont="1" applyAlignment="1">
      <alignment wrapText="1"/>
    </xf>
    <xf numFmtId="0" fontId="18" fillId="0" borderId="0" xfId="0" applyFont="1"/>
    <xf numFmtId="3" fontId="18" fillId="0" borderId="0" xfId="0" applyNumberFormat="1" applyFont="1" applyBorder="1"/>
    <xf numFmtId="3" fontId="18" fillId="0" borderId="0" xfId="0" applyNumberFormat="1" applyFont="1"/>
    <xf numFmtId="3" fontId="17" fillId="0" borderId="0" xfId="0" applyNumberFormat="1" applyFont="1" applyBorder="1"/>
    <xf numFmtId="3" fontId="25" fillId="0" borderId="0" xfId="1" applyNumberFormat="1" applyFont="1" applyBorder="1"/>
    <xf numFmtId="0" fontId="18" fillId="0" borderId="0" xfId="0" applyFont="1" applyBorder="1"/>
    <xf numFmtId="43" fontId="17" fillId="0" borderId="0" xfId="1" applyFont="1" applyBorder="1"/>
    <xf numFmtId="3" fontId="17" fillId="0" borderId="0" xfId="0" applyNumberFormat="1" applyFont="1" applyBorder="1" applyAlignment="1">
      <alignment wrapText="1"/>
    </xf>
    <xf numFmtId="3" fontId="20" fillId="0" borderId="0" xfId="0" applyNumberFormat="1" applyFont="1" applyBorder="1"/>
    <xf numFmtId="0" fontId="21" fillId="3" borderId="0" xfId="0" applyFont="1" applyFill="1"/>
    <xf numFmtId="3" fontId="21" fillId="3" borderId="0" xfId="0" applyNumberFormat="1" applyFont="1" applyFill="1"/>
    <xf numFmtId="0" fontId="21" fillId="0" borderId="0" xfId="0" applyFont="1"/>
    <xf numFmtId="0" fontId="15" fillId="0" borderId="0" xfId="0" applyFont="1"/>
    <xf numFmtId="43" fontId="0" fillId="2" borderId="0" xfId="0" applyNumberFormat="1" applyFill="1"/>
    <xf numFmtId="43" fontId="0" fillId="2" borderId="13" xfId="0" applyNumberFormat="1" applyFill="1" applyBorder="1"/>
    <xf numFmtId="43" fontId="0" fillId="2" borderId="0" xfId="0" applyNumberFormat="1" applyFill="1" applyBorder="1"/>
    <xf numFmtId="43" fontId="0" fillId="2" borderId="17" xfId="0" applyNumberFormat="1" applyFill="1" applyBorder="1"/>
    <xf numFmtId="0" fontId="6" fillId="2" borderId="0" xfId="0" applyFont="1" applyFill="1"/>
    <xf numFmtId="43" fontId="6" fillId="2" borderId="0" xfId="1" applyFont="1" applyFill="1"/>
    <xf numFmtId="44" fontId="0" fillId="2" borderId="42" xfId="2" applyFont="1" applyFill="1" applyBorder="1"/>
    <xf numFmtId="0" fontId="0" fillId="2" borderId="6" xfId="0" applyFill="1" applyBorder="1"/>
    <xf numFmtId="0" fontId="0" fillId="2" borderId="9" xfId="0" applyFill="1" applyBorder="1"/>
    <xf numFmtId="38" fontId="24" fillId="3" borderId="0" xfId="0" applyNumberFormat="1" applyFont="1" applyFill="1" applyBorder="1"/>
    <xf numFmtId="0" fontId="5" fillId="2" borderId="8" xfId="0" applyFont="1" applyFill="1" applyBorder="1"/>
    <xf numFmtId="44" fontId="5" fillId="2" borderId="9" xfId="0" applyNumberFormat="1" applyFont="1" applyFill="1" applyBorder="1"/>
    <xf numFmtId="44" fontId="5" fillId="2" borderId="40" xfId="0" applyNumberFormat="1" applyFont="1" applyFill="1" applyBorder="1"/>
    <xf numFmtId="41" fontId="19" fillId="0" borderId="0" xfId="1" applyNumberFormat="1" applyFont="1" applyBorder="1" applyAlignment="1">
      <alignment wrapText="1"/>
    </xf>
    <xf numFmtId="0" fontId="0" fillId="2" borderId="0" xfId="0" applyFill="1"/>
    <xf numFmtId="10" fontId="0" fillId="0" borderId="0" xfId="3" applyNumberFormat="1" applyFont="1"/>
    <xf numFmtId="0" fontId="0" fillId="0" borderId="36" xfId="0" applyFill="1" applyBorder="1"/>
    <xf numFmtId="0" fontId="0" fillId="0" borderId="8" xfId="0" applyBorder="1" applyAlignment="1">
      <alignment horizontal="center"/>
    </xf>
    <xf numFmtId="44" fontId="0" fillId="0" borderId="8" xfId="2" applyFont="1" applyBorder="1" applyAlignment="1">
      <alignment horizontal="center"/>
    </xf>
    <xf numFmtId="0" fontId="0" fillId="0" borderId="44" xfId="0" applyBorder="1"/>
    <xf numFmtId="0" fontId="0" fillId="0" borderId="35" xfId="0" applyBorder="1" applyAlignment="1">
      <alignment horizontal="center"/>
    </xf>
    <xf numFmtId="44" fontId="0" fillId="0" borderId="35" xfId="2" applyFont="1" applyBorder="1" applyAlignment="1">
      <alignment horizontal="center"/>
    </xf>
    <xf numFmtId="44" fontId="0" fillId="0" borderId="35" xfId="2" applyFont="1" applyBorder="1"/>
    <xf numFmtId="0" fontId="0" fillId="0" borderId="35" xfId="0" applyBorder="1"/>
    <xf numFmtId="0" fontId="8" fillId="2" borderId="49" xfId="0" applyFont="1" applyFill="1" applyBorder="1"/>
    <xf numFmtId="0" fontId="27" fillId="4" borderId="50" xfId="0" applyFont="1" applyFill="1" applyBorder="1" applyAlignment="1">
      <alignment horizontal="center" wrapText="1" readingOrder="1"/>
    </xf>
    <xf numFmtId="0" fontId="28" fillId="4" borderId="51" xfId="0" applyFont="1" applyFill="1" applyBorder="1" applyAlignment="1">
      <alignment horizontal="center" wrapText="1" readingOrder="1"/>
    </xf>
    <xf numFmtId="0" fontId="28" fillId="5" borderId="51" xfId="0" applyFont="1" applyFill="1" applyBorder="1" applyAlignment="1">
      <alignment horizontal="center" wrapText="1" readingOrder="1"/>
    </xf>
    <xf numFmtId="0" fontId="29" fillId="0" borderId="52" xfId="0" applyFont="1" applyBorder="1" applyAlignment="1">
      <alignment horizontal="left" wrapText="1" readingOrder="1"/>
    </xf>
    <xf numFmtId="6" fontId="29" fillId="0" borderId="53" xfId="0" applyNumberFormat="1" applyFont="1" applyBorder="1" applyAlignment="1">
      <alignment horizontal="left" wrapText="1" readingOrder="1"/>
    </xf>
    <xf numFmtId="6" fontId="29" fillId="6" borderId="53" xfId="0" applyNumberFormat="1" applyFont="1" applyFill="1" applyBorder="1" applyAlignment="1">
      <alignment horizontal="left" wrapText="1" readingOrder="1"/>
    </xf>
    <xf numFmtId="0" fontId="29" fillId="6" borderId="53" xfId="0" applyFont="1" applyFill="1" applyBorder="1" applyAlignment="1">
      <alignment horizontal="left" wrapText="1" readingOrder="1"/>
    </xf>
    <xf numFmtId="0" fontId="29" fillId="0" borderId="53" xfId="0" applyFont="1" applyBorder="1" applyAlignment="1">
      <alignment horizontal="left" wrapText="1" readingOrder="1"/>
    </xf>
    <xf numFmtId="0" fontId="29" fillId="7" borderId="52" xfId="0" applyFont="1" applyFill="1" applyBorder="1" applyAlignment="1">
      <alignment horizontal="left" wrapText="1" readingOrder="1"/>
    </xf>
    <xf numFmtId="0" fontId="30" fillId="7" borderId="53" xfId="0" applyFont="1" applyFill="1" applyBorder="1" applyAlignment="1">
      <alignment horizontal="left" wrapText="1" readingOrder="1"/>
    </xf>
    <xf numFmtId="0" fontId="30" fillId="6" borderId="53" xfId="0" applyFont="1" applyFill="1" applyBorder="1" applyAlignment="1">
      <alignment horizontal="left" wrapText="1" readingOrder="1"/>
    </xf>
    <xf numFmtId="0" fontId="30" fillId="7" borderId="52" xfId="0" applyFont="1" applyFill="1" applyBorder="1" applyAlignment="1">
      <alignment horizontal="left" wrapText="1" readingOrder="1"/>
    </xf>
    <xf numFmtId="6" fontId="30" fillId="7" borderId="53" xfId="0" applyNumberFormat="1" applyFont="1" applyFill="1" applyBorder="1" applyAlignment="1">
      <alignment horizontal="left" wrapText="1" readingOrder="1"/>
    </xf>
    <xf numFmtId="6" fontId="30" fillId="6" borderId="53" xfId="0" applyNumberFormat="1" applyFont="1" applyFill="1" applyBorder="1" applyAlignment="1">
      <alignment horizontal="left" wrapText="1" readingOrder="1"/>
    </xf>
    <xf numFmtId="8" fontId="29" fillId="6" borderId="53" xfId="0" applyNumberFormat="1" applyFont="1" applyFill="1" applyBorder="1" applyAlignment="1">
      <alignment horizontal="left" wrapText="1" readingOrder="1"/>
    </xf>
    <xf numFmtId="3" fontId="30" fillId="7" borderId="53" xfId="0" applyNumberFormat="1" applyFont="1" applyFill="1" applyBorder="1" applyAlignment="1">
      <alignment horizontal="left" wrapText="1" readingOrder="1"/>
    </xf>
    <xf numFmtId="0" fontId="29" fillId="7" borderId="54" xfId="0" applyFont="1" applyFill="1" applyBorder="1" applyAlignment="1">
      <alignment horizontal="left" wrapText="1" readingOrder="1"/>
    </xf>
    <xf numFmtId="6" fontId="29" fillId="7" borderId="53" xfId="0" applyNumberFormat="1" applyFont="1" applyFill="1" applyBorder="1" applyAlignment="1">
      <alignment horizontal="left" wrapText="1" readingOrder="1"/>
    </xf>
    <xf numFmtId="44" fontId="30" fillId="6" borderId="53" xfId="2" applyFont="1" applyFill="1" applyBorder="1" applyAlignment="1">
      <alignment horizontal="left" wrapText="1" readingOrder="1"/>
    </xf>
    <xf numFmtId="0" fontId="31" fillId="0" borderId="0" xfId="0" applyFont="1" applyAlignment="1">
      <alignment horizontal="center" textRotation="90" wrapText="1"/>
    </xf>
    <xf numFmtId="0" fontId="29" fillId="7" borderId="53" xfId="0" applyFont="1" applyFill="1" applyBorder="1" applyAlignment="1">
      <alignment horizontal="left" wrapText="1" readingOrder="1"/>
    </xf>
    <xf numFmtId="6" fontId="0" fillId="0" borderId="0" xfId="0" applyNumberFormat="1" applyAlignment="1">
      <alignment wrapText="1"/>
    </xf>
    <xf numFmtId="6" fontId="0" fillId="0" borderId="0" xfId="0" applyNumberFormat="1"/>
    <xf numFmtId="44" fontId="29" fillId="7" borderId="53" xfId="2" applyFont="1" applyFill="1" applyBorder="1" applyAlignment="1">
      <alignment horizontal="right" wrapText="1" readingOrder="1"/>
    </xf>
    <xf numFmtId="6" fontId="29" fillId="7" borderId="53" xfId="0" applyNumberFormat="1" applyFont="1" applyFill="1" applyBorder="1" applyAlignment="1">
      <alignment horizontal="right" wrapText="1" readingOrder="1"/>
    </xf>
    <xf numFmtId="8" fontId="29" fillId="6" borderId="53" xfId="0" applyNumberFormat="1" applyFont="1" applyFill="1" applyBorder="1" applyAlignment="1">
      <alignment horizontal="right" wrapText="1" readingOrder="1"/>
    </xf>
    <xf numFmtId="8" fontId="29" fillId="7" borderId="53" xfId="0" applyNumberFormat="1" applyFont="1" applyFill="1" applyBorder="1" applyAlignment="1">
      <alignment horizontal="left" wrapText="1" readingOrder="1"/>
    </xf>
    <xf numFmtId="8" fontId="8" fillId="0" borderId="0" xfId="0" applyNumberFormat="1" applyFont="1"/>
    <xf numFmtId="8" fontId="29" fillId="7" borderId="53" xfId="0" applyNumberFormat="1" applyFont="1" applyFill="1" applyBorder="1" applyAlignment="1">
      <alignment horizontal="right" wrapText="1" readingOrder="1"/>
    </xf>
    <xf numFmtId="0" fontId="29" fillId="7" borderId="53" xfId="0" applyNumberFormat="1" applyFont="1" applyFill="1" applyBorder="1" applyAlignment="1">
      <alignment horizontal="left" wrapText="1" readingOrder="1"/>
    </xf>
    <xf numFmtId="0" fontId="7" fillId="0" borderId="0" xfId="0" applyFont="1"/>
    <xf numFmtId="6" fontId="5" fillId="0" borderId="0" xfId="2" applyNumberFormat="1" applyFont="1"/>
    <xf numFmtId="0" fontId="29" fillId="7" borderId="56" xfId="0" applyFont="1" applyFill="1" applyBorder="1" applyAlignment="1">
      <alignment horizontal="left" wrapText="1" readingOrder="1"/>
    </xf>
    <xf numFmtId="6" fontId="29" fillId="7" borderId="56" xfId="0" applyNumberFormat="1" applyFont="1" applyFill="1" applyBorder="1" applyAlignment="1">
      <alignment horizontal="left" wrapText="1" readingOrder="1"/>
    </xf>
    <xf numFmtId="6" fontId="29" fillId="7" borderId="57" xfId="0" applyNumberFormat="1" applyFont="1" applyFill="1" applyBorder="1" applyAlignment="1">
      <alignment horizontal="left" wrapText="1" readingOrder="1"/>
    </xf>
    <xf numFmtId="6" fontId="29" fillId="7" borderId="58" xfId="0" applyNumberFormat="1" applyFont="1" applyFill="1" applyBorder="1" applyAlignment="1">
      <alignment horizontal="left" wrapText="1" readingOrder="1"/>
    </xf>
    <xf numFmtId="6" fontId="29" fillId="7" borderId="59" xfId="0" applyNumberFormat="1" applyFont="1" applyFill="1" applyBorder="1" applyAlignment="1">
      <alignment horizontal="left" wrapText="1" readingOrder="1"/>
    </xf>
    <xf numFmtId="6" fontId="29" fillId="7" borderId="60" xfId="0" applyNumberFormat="1" applyFont="1" applyFill="1" applyBorder="1" applyAlignment="1">
      <alignment horizontal="left" wrapText="1" readingOrder="1"/>
    </xf>
    <xf numFmtId="6" fontId="29" fillId="7" borderId="61" xfId="0" applyNumberFormat="1" applyFont="1" applyFill="1" applyBorder="1" applyAlignment="1">
      <alignment horizontal="left" wrapText="1" readingOrder="1"/>
    </xf>
    <xf numFmtId="6" fontId="29" fillId="6" borderId="61" xfId="0" applyNumberFormat="1" applyFont="1" applyFill="1" applyBorder="1" applyAlignment="1">
      <alignment horizontal="left" wrapText="1" readingOrder="1"/>
    </xf>
    <xf numFmtId="8" fontId="29" fillId="7" borderId="61" xfId="0" applyNumberFormat="1" applyFont="1" applyFill="1" applyBorder="1" applyAlignment="1">
      <alignment wrapText="1" readingOrder="1"/>
    </xf>
    <xf numFmtId="8" fontId="29" fillId="6" borderId="61" xfId="0" applyNumberFormat="1" applyFont="1" applyFill="1" applyBorder="1" applyAlignment="1">
      <alignment wrapText="1" readingOrder="1"/>
    </xf>
    <xf numFmtId="8" fontId="29" fillId="7" borderId="62" xfId="0" applyNumberFormat="1" applyFont="1" applyFill="1" applyBorder="1" applyAlignment="1">
      <alignment wrapText="1" readingOrder="1"/>
    </xf>
    <xf numFmtId="8" fontId="29" fillId="7" borderId="57" xfId="0" applyNumberFormat="1" applyFont="1" applyFill="1" applyBorder="1" applyAlignment="1">
      <alignment horizontal="left" wrapText="1" readingOrder="1"/>
    </xf>
    <xf numFmtId="6" fontId="32" fillId="7" borderId="53" xfId="0" applyNumberFormat="1" applyFont="1" applyFill="1" applyBorder="1" applyAlignment="1">
      <alignment horizontal="left" wrapText="1" readingOrder="1"/>
    </xf>
    <xf numFmtId="8" fontId="0" fillId="0" borderId="0" xfId="0" applyNumberFormat="1"/>
    <xf numFmtId="0" fontId="22" fillId="8" borderId="63" xfId="0" applyFont="1" applyFill="1" applyBorder="1" applyAlignment="1">
      <alignment horizontal="left" indent="2"/>
    </xf>
    <xf numFmtId="0" fontId="24" fillId="8" borderId="14" xfId="0" applyFont="1" applyFill="1" applyBorder="1"/>
    <xf numFmtId="0" fontId="24" fillId="8" borderId="35" xfId="0" applyFont="1" applyFill="1" applyBorder="1"/>
    <xf numFmtId="0" fontId="24" fillId="8" borderId="64" xfId="0" applyFont="1" applyFill="1" applyBorder="1"/>
    <xf numFmtId="0" fontId="33" fillId="8" borderId="23" xfId="0" applyFont="1" applyFill="1" applyBorder="1" applyAlignment="1">
      <alignment horizontal="left" indent="4"/>
    </xf>
    <xf numFmtId="0" fontId="24" fillId="8" borderId="0" xfId="0" applyFont="1" applyFill="1" applyBorder="1"/>
    <xf numFmtId="0" fontId="24" fillId="8" borderId="12" xfId="0" applyFont="1" applyFill="1" applyBorder="1"/>
    <xf numFmtId="0" fontId="24" fillId="8" borderId="65" xfId="0" applyFont="1" applyFill="1" applyBorder="1"/>
    <xf numFmtId="164" fontId="33" fillId="8" borderId="0" xfId="1" applyNumberFormat="1" applyFont="1" applyFill="1" applyBorder="1"/>
    <xf numFmtId="164" fontId="33" fillId="8" borderId="12" xfId="1" applyNumberFormat="1" applyFont="1" applyFill="1" applyBorder="1"/>
    <xf numFmtId="164" fontId="33" fillId="8" borderId="65" xfId="1" applyNumberFormat="1" applyFont="1" applyFill="1" applyBorder="1"/>
    <xf numFmtId="164" fontId="33" fillId="8" borderId="0" xfId="0" applyNumberFormat="1" applyFont="1" applyFill="1" applyBorder="1"/>
    <xf numFmtId="164" fontId="33" fillId="8" borderId="12" xfId="0" applyNumberFormat="1" applyFont="1" applyFill="1" applyBorder="1"/>
    <xf numFmtId="164" fontId="33" fillId="8" borderId="65" xfId="0" applyNumberFormat="1" applyFont="1" applyFill="1" applyBorder="1"/>
    <xf numFmtId="0" fontId="22" fillId="8" borderId="66" xfId="0" applyFont="1" applyFill="1" applyBorder="1" applyAlignment="1">
      <alignment horizontal="left" indent="3"/>
    </xf>
    <xf numFmtId="164" fontId="22" fillId="8" borderId="67" xfId="1" applyNumberFormat="1" applyFont="1" applyFill="1" applyBorder="1"/>
    <xf numFmtId="42" fontId="22" fillId="8" borderId="67" xfId="1" applyNumberFormat="1" applyFont="1" applyFill="1" applyBorder="1"/>
    <xf numFmtId="42" fontId="22" fillId="8" borderId="5" xfId="1" applyNumberFormat="1" applyFont="1" applyFill="1" applyBorder="1"/>
    <xf numFmtId="42" fontId="22" fillId="8" borderId="68" xfId="1" applyNumberFormat="1" applyFont="1" applyFill="1" applyBorder="1"/>
    <xf numFmtId="6" fontId="29" fillId="7" borderId="69" xfId="0" applyNumberFormat="1" applyFont="1" applyFill="1" applyBorder="1" applyAlignment="1">
      <alignment horizontal="left" wrapText="1" readingOrder="1"/>
    </xf>
    <xf numFmtId="0" fontId="22" fillId="8" borderId="70" xfId="0" applyFont="1" applyFill="1" applyBorder="1" applyAlignment="1">
      <alignment horizontal="left" indent="3"/>
    </xf>
    <xf numFmtId="164" fontId="22" fillId="8" borderId="10" xfId="1" applyNumberFormat="1" applyFont="1" applyFill="1" applyBorder="1"/>
    <xf numFmtId="42" fontId="22" fillId="8" borderId="10" xfId="1" applyNumberFormat="1" applyFont="1" applyFill="1" applyBorder="1"/>
    <xf numFmtId="42" fontId="22" fillId="8" borderId="43" xfId="1" applyNumberFormat="1" applyFont="1" applyFill="1" applyBorder="1"/>
    <xf numFmtId="42" fontId="22" fillId="8" borderId="71" xfId="1" applyNumberFormat="1" applyFont="1" applyFill="1" applyBorder="1"/>
    <xf numFmtId="0" fontId="22" fillId="8" borderId="1" xfId="0" applyFont="1" applyFill="1" applyBorder="1" applyAlignment="1">
      <alignment horizontal="left" indent="2"/>
    </xf>
    <xf numFmtId="0" fontId="33" fillId="8" borderId="4" xfId="0" applyFont="1" applyFill="1" applyBorder="1" applyAlignment="1">
      <alignment horizontal="left" indent="4"/>
    </xf>
    <xf numFmtId="0" fontId="24" fillId="8" borderId="5" xfId="0" applyFont="1" applyFill="1" applyBorder="1"/>
    <xf numFmtId="164" fontId="33" fillId="8" borderId="5" xfId="1" applyNumberFormat="1" applyFont="1" applyFill="1" applyBorder="1"/>
    <xf numFmtId="0" fontId="33" fillId="8" borderId="7" xfId="0" applyFont="1" applyFill="1" applyBorder="1" applyAlignment="1">
      <alignment horizontal="left" indent="4"/>
    </xf>
    <xf numFmtId="164" fontId="33" fillId="8" borderId="8" xfId="1" applyNumberFormat="1" applyFont="1" applyFill="1" applyBorder="1"/>
    <xf numFmtId="164" fontId="33" fillId="8" borderId="8" xfId="0" applyNumberFormat="1" applyFont="1" applyFill="1" applyBorder="1"/>
    <xf numFmtId="0" fontId="22" fillId="8" borderId="14" xfId="0" applyFont="1" applyFill="1" applyBorder="1"/>
    <xf numFmtId="0" fontId="22" fillId="8" borderId="35" xfId="0" applyFont="1" applyFill="1" applyBorder="1"/>
    <xf numFmtId="0" fontId="22" fillId="8" borderId="64" xfId="0" applyFont="1" applyFill="1" applyBorder="1"/>
    <xf numFmtId="0" fontId="22" fillId="8" borderId="5" xfId="0" applyFont="1" applyFill="1" applyBorder="1"/>
    <xf numFmtId="164" fontId="33" fillId="9" borderId="0" xfId="1" applyNumberFormat="1" applyFont="1" applyFill="1" applyBorder="1"/>
    <xf numFmtId="0" fontId="22" fillId="9" borderId="66" xfId="0" applyFont="1" applyFill="1" applyBorder="1" applyAlignment="1">
      <alignment horizontal="left" indent="1"/>
    </xf>
    <xf numFmtId="167" fontId="22" fillId="9" borderId="67" xfId="1" applyNumberFormat="1" applyFont="1" applyFill="1" applyBorder="1"/>
    <xf numFmtId="167" fontId="22" fillId="9" borderId="5" xfId="1" applyNumberFormat="1" applyFont="1" applyFill="1" applyBorder="1"/>
    <xf numFmtId="0" fontId="22" fillId="9" borderId="70" xfId="0" applyFont="1" applyFill="1" applyBorder="1" applyAlignment="1">
      <alignment horizontal="left" indent="1"/>
    </xf>
    <xf numFmtId="167" fontId="22" fillId="9" borderId="10" xfId="1" applyNumberFormat="1" applyFont="1" applyFill="1" applyBorder="1"/>
    <xf numFmtId="167" fontId="22" fillId="9" borderId="43" xfId="1" applyNumberFormat="1" applyFont="1" applyFill="1" applyBorder="1"/>
    <xf numFmtId="167" fontId="22" fillId="9" borderId="71" xfId="1" applyNumberFormat="1" applyFont="1" applyFill="1" applyBorder="1"/>
    <xf numFmtId="164" fontId="33" fillId="9" borderId="0" xfId="0" applyNumberFormat="1" applyFont="1" applyFill="1" applyBorder="1"/>
    <xf numFmtId="0" fontId="22" fillId="9" borderId="24" xfId="0" applyFont="1" applyFill="1" applyBorder="1" applyAlignment="1">
      <alignment horizontal="left" indent="1"/>
    </xf>
    <xf numFmtId="164" fontId="33" fillId="9" borderId="25" xfId="1" applyNumberFormat="1" applyFont="1" applyFill="1" applyBorder="1"/>
    <xf numFmtId="164" fontId="33" fillId="9" borderId="25" xfId="0" applyNumberFormat="1" applyFont="1" applyFill="1" applyBorder="1"/>
    <xf numFmtId="43" fontId="1" fillId="9" borderId="25" xfId="1" applyFill="1" applyBorder="1"/>
    <xf numFmtId="41" fontId="33" fillId="9" borderId="27" xfId="0" applyNumberFormat="1" applyFont="1" applyFill="1" applyBorder="1" applyAlignment="1">
      <alignment horizontal="left" indent="3"/>
    </xf>
    <xf numFmtId="164" fontId="33" fillId="9" borderId="5" xfId="1" applyNumberFormat="1" applyFont="1" applyFill="1" applyBorder="1"/>
    <xf numFmtId="166" fontId="33" fillId="9" borderId="5" xfId="2" applyNumberFormat="1" applyFont="1" applyFill="1" applyBorder="1"/>
    <xf numFmtId="0" fontId="33" fillId="9" borderId="27" xfId="0" applyFont="1" applyFill="1" applyBorder="1" applyAlignment="1">
      <alignment horizontal="left" indent="3"/>
    </xf>
    <xf numFmtId="0" fontId="33" fillId="9" borderId="29" xfId="0" applyFont="1" applyFill="1" applyBorder="1" applyAlignment="1">
      <alignment horizontal="left" indent="3"/>
    </xf>
    <xf numFmtId="164" fontId="33" fillId="9" borderId="30" xfId="1" applyNumberFormat="1" applyFont="1" applyFill="1" applyBorder="1"/>
    <xf numFmtId="167" fontId="0" fillId="0" borderId="0" xfId="0" applyNumberFormat="1"/>
    <xf numFmtId="0" fontId="24" fillId="3" borderId="0" xfId="0" applyFont="1" applyFill="1"/>
    <xf numFmtId="0" fontId="34" fillId="3" borderId="0" xfId="0" applyFont="1" applyFill="1" applyBorder="1"/>
    <xf numFmtId="0" fontId="24" fillId="3" borderId="0" xfId="0" applyFont="1" applyFill="1" applyBorder="1"/>
    <xf numFmtId="0" fontId="35" fillId="3" borderId="0" xfId="0" applyFont="1" applyFill="1"/>
    <xf numFmtId="44" fontId="36" fillId="3" borderId="0" xfId="2" applyFont="1" applyFill="1"/>
    <xf numFmtId="0" fontId="36" fillId="3" borderId="0" xfId="0" applyFont="1" applyFill="1"/>
    <xf numFmtId="10" fontId="35" fillId="3" borderId="24" xfId="3" applyNumberFormat="1" applyFont="1" applyFill="1" applyBorder="1"/>
    <xf numFmtId="10" fontId="35" fillId="3" borderId="72" xfId="3" applyNumberFormat="1" applyFont="1" applyFill="1" applyBorder="1"/>
    <xf numFmtId="10" fontId="35" fillId="3" borderId="73" xfId="3" applyNumberFormat="1" applyFont="1" applyFill="1" applyBorder="1"/>
    <xf numFmtId="43" fontId="36" fillId="9" borderId="74" xfId="1" applyFont="1" applyFill="1" applyBorder="1"/>
    <xf numFmtId="43" fontId="36" fillId="9" borderId="75" xfId="1" applyFont="1" applyFill="1" applyBorder="1"/>
    <xf numFmtId="43" fontId="36" fillId="9" borderId="76" xfId="1" applyFont="1" applyFill="1" applyBorder="1"/>
    <xf numFmtId="0" fontId="33" fillId="3" borderId="0" xfId="0" applyFont="1" applyFill="1" applyAlignment="1">
      <alignment horizontal="center"/>
    </xf>
    <xf numFmtId="0" fontId="33" fillId="3" borderId="0" xfId="0" applyFont="1" applyFill="1"/>
    <xf numFmtId="43" fontId="33" fillId="3" borderId="0" xfId="1" applyNumberFormat="1" applyFont="1" applyFill="1"/>
    <xf numFmtId="0" fontId="22" fillId="9" borderId="23" xfId="0" applyFont="1" applyFill="1" applyBorder="1" applyAlignment="1">
      <alignment horizontal="left" indent="1"/>
    </xf>
    <xf numFmtId="43" fontId="1" fillId="9" borderId="12" xfId="1" applyFill="1" applyBorder="1"/>
    <xf numFmtId="10" fontId="36" fillId="11" borderId="66" xfId="0" applyNumberFormat="1" applyFont="1" applyFill="1" applyBorder="1" applyAlignment="1"/>
    <xf numFmtId="10" fontId="36" fillId="11" borderId="67" xfId="3" applyNumberFormat="1" applyFont="1" applyFill="1" applyBorder="1"/>
    <xf numFmtId="10" fontId="36" fillId="11" borderId="68" xfId="3" applyNumberFormat="1" applyFont="1" applyFill="1" applyBorder="1"/>
    <xf numFmtId="0" fontId="38" fillId="12" borderId="77" xfId="0" applyFont="1" applyFill="1" applyBorder="1" applyAlignment="1">
      <alignment horizontal="center"/>
    </xf>
    <xf numFmtId="0" fontId="16" fillId="12" borderId="78" xfId="0" applyFont="1" applyFill="1" applyBorder="1" applyAlignment="1">
      <alignment horizontal="center"/>
    </xf>
    <xf numFmtId="168" fontId="35" fillId="3" borderId="0" xfId="0" applyNumberFormat="1" applyFont="1" applyFill="1"/>
    <xf numFmtId="43" fontId="36" fillId="3" borderId="0" xfId="1" applyFont="1" applyFill="1" applyBorder="1"/>
    <xf numFmtId="41" fontId="22" fillId="9" borderId="23" xfId="0" applyNumberFormat="1" applyFont="1" applyFill="1" applyBorder="1" applyAlignment="1">
      <alignment horizontal="left" indent="3"/>
    </xf>
    <xf numFmtId="164" fontId="22" fillId="9" borderId="0" xfId="1" applyNumberFormat="1" applyFont="1" applyFill="1" applyBorder="1"/>
    <xf numFmtId="166" fontId="22" fillId="9" borderId="0" xfId="2" applyNumberFormat="1" applyFont="1" applyFill="1" applyBorder="1"/>
    <xf numFmtId="166" fontId="22" fillId="9" borderId="12" xfId="2" applyNumberFormat="1" applyFont="1" applyFill="1" applyBorder="1"/>
    <xf numFmtId="164" fontId="22" fillId="9" borderId="12" xfId="1" applyNumberFormat="1" applyFont="1" applyFill="1" applyBorder="1"/>
    <xf numFmtId="0" fontId="22" fillId="9" borderId="23" xfId="0" applyFont="1" applyFill="1" applyBorder="1" applyAlignment="1">
      <alignment horizontal="left" indent="3"/>
    </xf>
    <xf numFmtId="0" fontId="36" fillId="3" borderId="0" xfId="0" applyFont="1" applyFill="1" applyBorder="1" applyAlignment="1">
      <alignment horizontal="left"/>
    </xf>
    <xf numFmtId="0" fontId="36" fillId="3" borderId="0" xfId="0" applyFont="1" applyFill="1" applyAlignment="1">
      <alignment horizontal="left"/>
    </xf>
    <xf numFmtId="0" fontId="24" fillId="0" borderId="0" xfId="0" applyFont="1"/>
    <xf numFmtId="0" fontId="24" fillId="0" borderId="0" xfId="0" applyFont="1" applyAlignment="1">
      <alignment horizontal="center"/>
    </xf>
    <xf numFmtId="0" fontId="7" fillId="0" borderId="0" xfId="0" applyFont="1" applyBorder="1"/>
    <xf numFmtId="0" fontId="7" fillId="0" borderId="0" xfId="0" applyFont="1" applyBorder="1" applyAlignment="1">
      <alignment horizontal="center"/>
    </xf>
    <xf numFmtId="0" fontId="24" fillId="3" borderId="23" xfId="0" applyFont="1" applyFill="1" applyBorder="1"/>
    <xf numFmtId="10" fontId="24" fillId="0" borderId="0" xfId="3" applyNumberFormat="1" applyFont="1" applyBorder="1"/>
    <xf numFmtId="164" fontId="24" fillId="3" borderId="0" xfId="1" applyNumberFormat="1" applyFont="1" applyFill="1" applyBorder="1"/>
    <xf numFmtId="164" fontId="24" fillId="0" borderId="0" xfId="1" applyNumberFormat="1" applyFont="1" applyBorder="1"/>
    <xf numFmtId="164" fontId="24" fillId="0" borderId="12" xfId="1" applyNumberFormat="1" applyFont="1" applyBorder="1"/>
    <xf numFmtId="164" fontId="24" fillId="0" borderId="65" xfId="1" applyNumberFormat="1" applyFont="1" applyBorder="1"/>
    <xf numFmtId="0" fontId="40" fillId="0" borderId="66" xfId="0" applyFont="1" applyBorder="1"/>
    <xf numFmtId="164" fontId="41" fillId="0" borderId="67" xfId="1" applyNumberFormat="1" applyFont="1" applyBorder="1"/>
    <xf numFmtId="42" fontId="41" fillId="3" borderId="67" xfId="1" applyNumberFormat="1" applyFont="1" applyFill="1" applyBorder="1"/>
    <xf numFmtId="42" fontId="41" fillId="0" borderId="67" xfId="1" applyNumberFormat="1" applyFont="1" applyBorder="1"/>
    <xf numFmtId="42" fontId="41" fillId="0" borderId="5" xfId="1" applyNumberFormat="1" applyFont="1" applyBorder="1"/>
    <xf numFmtId="42" fontId="41" fillId="0" borderId="68" xfId="1" applyNumberFormat="1" applyFont="1" applyBorder="1"/>
    <xf numFmtId="0" fontId="41" fillId="0" borderId="74" xfId="0" applyFont="1" applyBorder="1"/>
    <xf numFmtId="164" fontId="41" fillId="0" borderId="75" xfId="1" applyNumberFormat="1" applyFont="1" applyBorder="1"/>
    <xf numFmtId="164" fontId="41" fillId="0" borderId="80" xfId="1" applyNumberFormat="1" applyFont="1" applyBorder="1"/>
    <xf numFmtId="164" fontId="41" fillId="0" borderId="76" xfId="1" applyNumberFormat="1" applyFont="1" applyBorder="1"/>
    <xf numFmtId="0" fontId="17" fillId="0" borderId="23" xfId="0" applyFont="1" applyBorder="1"/>
    <xf numFmtId="43" fontId="24" fillId="0" borderId="0" xfId="1" applyFont="1" applyBorder="1"/>
    <xf numFmtId="0" fontId="40" fillId="0" borderId="23" xfId="0" applyFont="1" applyBorder="1"/>
    <xf numFmtId="164" fontId="41" fillId="0" borderId="0" xfId="1" applyNumberFormat="1" applyFont="1" applyBorder="1"/>
    <xf numFmtId="42" fontId="41" fillId="0" borderId="0" xfId="1" applyNumberFormat="1" applyFont="1" applyBorder="1"/>
    <xf numFmtId="42" fontId="41" fillId="0" borderId="12" xfId="1" applyNumberFormat="1" applyFont="1" applyBorder="1"/>
    <xf numFmtId="42" fontId="41" fillId="0" borderId="65" xfId="1" applyNumberFormat="1" applyFont="1" applyBorder="1"/>
    <xf numFmtId="44" fontId="41" fillId="0" borderId="75" xfId="2" applyFont="1" applyBorder="1"/>
    <xf numFmtId="44" fontId="41" fillId="0" borderId="80" xfId="2" applyFont="1" applyBorder="1"/>
    <xf numFmtId="44" fontId="41" fillId="0" borderId="76" xfId="2" applyFont="1" applyBorder="1"/>
    <xf numFmtId="0" fontId="17" fillId="0" borderId="23" xfId="0" applyFont="1" applyFill="1" applyBorder="1"/>
    <xf numFmtId="0" fontId="41" fillId="0" borderId="23" xfId="0" applyFont="1" applyBorder="1"/>
    <xf numFmtId="170" fontId="1" fillId="0" borderId="0" xfId="3" applyNumberFormat="1" applyBorder="1"/>
    <xf numFmtId="171" fontId="1" fillId="0" borderId="12" xfId="1" applyNumberFormat="1" applyBorder="1"/>
    <xf numFmtId="164" fontId="41" fillId="0" borderId="65" xfId="1" applyNumberFormat="1" applyFont="1" applyBorder="1"/>
    <xf numFmtId="0" fontId="24" fillId="0" borderId="23" xfId="0" applyFont="1" applyFill="1" applyBorder="1"/>
    <xf numFmtId="10" fontId="17" fillId="0" borderId="0" xfId="0" applyNumberFormat="1" applyFont="1" applyBorder="1"/>
    <xf numFmtId="10" fontId="17" fillId="0" borderId="0" xfId="0" applyNumberFormat="1" applyFont="1" applyBorder="1" applyAlignment="1">
      <alignment horizontal="left"/>
    </xf>
    <xf numFmtId="0" fontId="20" fillId="0" borderId="66" xfId="0" applyFont="1" applyFill="1" applyBorder="1"/>
    <xf numFmtId="6" fontId="24" fillId="0" borderId="0" xfId="0" applyNumberFormat="1" applyFont="1" applyBorder="1"/>
    <xf numFmtId="0" fontId="24" fillId="0" borderId="23" xfId="0" applyFont="1" applyBorder="1"/>
    <xf numFmtId="0" fontId="24" fillId="0" borderId="0" xfId="0" applyFont="1" applyBorder="1"/>
    <xf numFmtId="0" fontId="24" fillId="0" borderId="12" xfId="0" applyFont="1" applyBorder="1"/>
    <xf numFmtId="0" fontId="24" fillId="0" borderId="65" xfId="0" applyFont="1" applyBorder="1"/>
    <xf numFmtId="0" fontId="5" fillId="0" borderId="82" xfId="0" applyFont="1" applyBorder="1"/>
    <xf numFmtId="164" fontId="5" fillId="0" borderId="11" xfId="1" applyNumberFormat="1" applyFont="1" applyBorder="1"/>
    <xf numFmtId="42" fontId="5" fillId="0" borderId="11" xfId="1" applyNumberFormat="1" applyFont="1" applyBorder="1"/>
    <xf numFmtId="42" fontId="5" fillId="0" borderId="30" xfId="1" applyNumberFormat="1" applyFont="1" applyBorder="1"/>
    <xf numFmtId="42" fontId="5" fillId="0" borderId="83" xfId="1" applyNumberFormat="1" applyFont="1" applyBorder="1"/>
    <xf numFmtId="0" fontId="7" fillId="0" borderId="0" xfId="0" applyFont="1" applyBorder="1" applyAlignment="1">
      <alignment horizontal="center" wrapText="1"/>
    </xf>
    <xf numFmtId="9" fontId="24" fillId="14" borderId="0" xfId="3" applyNumberFormat="1" applyFont="1" applyFill="1" applyBorder="1"/>
    <xf numFmtId="43" fontId="24" fillId="0" borderId="0" xfId="1" applyNumberFormat="1" applyFont="1" applyBorder="1"/>
    <xf numFmtId="9" fontId="24" fillId="0" borderId="67" xfId="3" applyNumberFormat="1" applyFont="1" applyBorder="1"/>
    <xf numFmtId="9" fontId="24" fillId="0" borderId="0" xfId="3" applyNumberFormat="1" applyFont="1" applyBorder="1"/>
    <xf numFmtId="41" fontId="24" fillId="0" borderId="0" xfId="1" applyNumberFormat="1" applyFont="1" applyBorder="1"/>
    <xf numFmtId="9" fontId="41" fillId="0" borderId="67" xfId="1" applyNumberFormat="1" applyFont="1" applyBorder="1"/>
    <xf numFmtId="9" fontId="24" fillId="0" borderId="0" xfId="0" applyNumberFormat="1" applyFont="1" applyBorder="1"/>
    <xf numFmtId="9" fontId="5" fillId="0" borderId="11" xfId="1" applyNumberFormat="1" applyFont="1" applyBorder="1"/>
    <xf numFmtId="49" fontId="24" fillId="0" borderId="0" xfId="0" applyNumberFormat="1" applyFont="1"/>
    <xf numFmtId="9" fontId="24" fillId="0" borderId="0" xfId="0" applyNumberFormat="1" applyFont="1"/>
    <xf numFmtId="9" fontId="7" fillId="0" borderId="0" xfId="0" applyNumberFormat="1" applyFont="1" applyBorder="1" applyAlignment="1">
      <alignment horizontal="center" wrapText="1"/>
    </xf>
    <xf numFmtId="9" fontId="17" fillId="0" borderId="0" xfId="0" applyNumberFormat="1" applyFont="1" applyBorder="1"/>
    <xf numFmtId="44" fontId="24" fillId="0" borderId="0" xfId="2" applyFont="1" applyBorder="1"/>
    <xf numFmtId="44" fontId="41" fillId="0" borderId="67" xfId="2" applyFont="1" applyBorder="1"/>
    <xf numFmtId="9" fontId="41" fillId="0" borderId="0" xfId="1" applyNumberFormat="1" applyFont="1" applyBorder="1"/>
    <xf numFmtId="44" fontId="41" fillId="0" borderId="0" xfId="2" applyFont="1" applyBorder="1"/>
    <xf numFmtId="0" fontId="7" fillId="0" borderId="0" xfId="0" applyFont="1" applyBorder="1" applyAlignment="1">
      <alignment wrapText="1"/>
    </xf>
    <xf numFmtId="49" fontId="39" fillId="15" borderId="81" xfId="0" applyNumberFormat="1" applyFont="1" applyFill="1" applyBorder="1"/>
    <xf numFmtId="164" fontId="26" fillId="15" borderId="72" xfId="1" applyNumberFormat="1" applyFont="1" applyFill="1" applyBorder="1"/>
    <xf numFmtId="6" fontId="26" fillId="15" borderId="72" xfId="0" applyNumberFormat="1" applyFont="1" applyFill="1" applyBorder="1"/>
    <xf numFmtId="164" fontId="26" fillId="15" borderId="25" xfId="1" applyNumberFormat="1" applyFont="1" applyFill="1" applyBorder="1"/>
    <xf numFmtId="164" fontId="26" fillId="15" borderId="73" xfId="1" applyNumberFormat="1" applyFont="1" applyFill="1" applyBorder="1"/>
    <xf numFmtId="164" fontId="26" fillId="15" borderId="72" xfId="1" quotePrefix="1" applyNumberFormat="1" applyFont="1" applyFill="1" applyBorder="1"/>
    <xf numFmtId="0" fontId="41" fillId="0" borderId="0" xfId="0" applyFont="1" applyBorder="1"/>
    <xf numFmtId="173" fontId="24" fillId="3" borderId="0" xfId="0" applyNumberFormat="1" applyFont="1" applyFill="1" applyBorder="1"/>
    <xf numFmtId="0" fontId="16" fillId="4" borderId="77" xfId="0" applyFont="1" applyFill="1" applyBorder="1" applyAlignment="1">
      <alignment horizontal="center"/>
    </xf>
    <xf numFmtId="0" fontId="16" fillId="4" borderId="78" xfId="0" applyFont="1" applyFill="1" applyBorder="1" applyAlignment="1">
      <alignment horizontal="center"/>
    </xf>
    <xf numFmtId="0" fontId="16" fillId="4" borderId="79" xfId="0" applyFont="1" applyFill="1" applyBorder="1" applyAlignment="1">
      <alignment horizontal="center"/>
    </xf>
    <xf numFmtId="0" fontId="16" fillId="4" borderId="23" xfId="0" applyFont="1" applyFill="1" applyBorder="1" applyAlignment="1">
      <alignment horizontal="center"/>
    </xf>
    <xf numFmtId="0" fontId="16" fillId="4" borderId="0" xfId="0" applyFont="1" applyFill="1" applyBorder="1" applyAlignment="1">
      <alignment horizontal="center"/>
    </xf>
    <xf numFmtId="0" fontId="16" fillId="4" borderId="65" xfId="0" applyFont="1" applyFill="1" applyBorder="1" applyAlignment="1">
      <alignment horizontal="center"/>
    </xf>
    <xf numFmtId="0" fontId="24" fillId="0" borderId="23" xfId="0" applyFont="1" applyBorder="1" applyAlignment="1">
      <alignment horizontal="center"/>
    </xf>
    <xf numFmtId="0" fontId="41" fillId="0" borderId="0" xfId="0" applyFont="1" applyBorder="1" applyAlignment="1">
      <alignment horizontal="center"/>
    </xf>
    <xf numFmtId="0" fontId="24" fillId="0" borderId="0" xfId="0" applyFont="1" applyBorder="1" applyAlignment="1">
      <alignment horizontal="center"/>
    </xf>
    <xf numFmtId="0" fontId="24" fillId="0" borderId="65" xfId="0" applyFont="1" applyBorder="1" applyAlignment="1">
      <alignment horizontal="center"/>
    </xf>
    <xf numFmtId="9" fontId="41" fillId="16" borderId="81" xfId="0" applyNumberFormat="1" applyFont="1" applyFill="1" applyBorder="1"/>
    <xf numFmtId="0" fontId="41" fillId="16" borderId="72" xfId="0" applyFont="1" applyFill="1" applyBorder="1"/>
    <xf numFmtId="0" fontId="41" fillId="16" borderId="73" xfId="0" applyFont="1" applyFill="1" applyBorder="1"/>
    <xf numFmtId="167" fontId="24" fillId="0" borderId="0" xfId="1" applyNumberFormat="1" applyFont="1" applyBorder="1"/>
    <xf numFmtId="167" fontId="24" fillId="0" borderId="65" xfId="1" applyNumberFormat="1" applyFont="1" applyBorder="1"/>
    <xf numFmtId="43" fontId="24" fillId="0" borderId="65" xfId="1" applyFont="1" applyBorder="1"/>
    <xf numFmtId="173" fontId="41" fillId="0" borderId="0" xfId="2" applyNumberFormat="1" applyFont="1" applyBorder="1"/>
    <xf numFmtId="173" fontId="41" fillId="0" borderId="65" xfId="2" applyNumberFormat="1" applyFont="1" applyBorder="1"/>
    <xf numFmtId="0" fontId="24" fillId="0" borderId="70" xfId="0" applyFont="1" applyBorder="1"/>
    <xf numFmtId="0" fontId="41" fillId="0" borderId="10" xfId="0" applyFont="1" applyBorder="1"/>
    <xf numFmtId="173" fontId="41" fillId="0" borderId="10" xfId="2" applyNumberFormat="1" applyFont="1" applyBorder="1"/>
    <xf numFmtId="173" fontId="41" fillId="0" borderId="71" xfId="2" applyNumberFormat="1" applyFont="1" applyBorder="1"/>
    <xf numFmtId="9" fontId="24" fillId="0" borderId="74" xfId="3" applyFont="1" applyBorder="1"/>
    <xf numFmtId="0" fontId="24" fillId="0" borderId="75" xfId="0" applyFont="1" applyBorder="1"/>
    <xf numFmtId="0" fontId="24" fillId="0" borderId="76" xfId="0" applyFont="1" applyBorder="1"/>
    <xf numFmtId="0" fontId="24" fillId="0" borderId="82" xfId="0" applyFont="1" applyBorder="1"/>
    <xf numFmtId="0" fontId="41" fillId="0" borderId="11" xfId="0" applyFont="1" applyBorder="1"/>
    <xf numFmtId="173" fontId="41" fillId="0" borderId="11" xfId="2" applyNumberFormat="1" applyFont="1" applyBorder="1"/>
    <xf numFmtId="173" fontId="41" fillId="0" borderId="83" xfId="2" applyNumberFormat="1" applyFont="1" applyBorder="1"/>
    <xf numFmtId="0" fontId="41" fillId="16" borderId="81" xfId="0" applyFont="1" applyFill="1" applyBorder="1"/>
    <xf numFmtId="0" fontId="24" fillId="17" borderId="23" xfId="0" applyFont="1" applyFill="1" applyBorder="1"/>
    <xf numFmtId="0" fontId="24" fillId="17" borderId="0" xfId="0" applyFont="1" applyFill="1" applyBorder="1"/>
    <xf numFmtId="167" fontId="24" fillId="17" borderId="0" xfId="1" applyNumberFormat="1" applyFont="1" applyFill="1" applyBorder="1"/>
    <xf numFmtId="167" fontId="24" fillId="17" borderId="65" xfId="1" applyNumberFormat="1" applyFont="1" applyFill="1" applyBorder="1"/>
    <xf numFmtId="43" fontId="24" fillId="17" borderId="0" xfId="1" applyFont="1" applyFill="1" applyBorder="1"/>
    <xf numFmtId="43" fontId="24" fillId="17" borderId="65" xfId="1" applyFont="1" applyFill="1" applyBorder="1"/>
    <xf numFmtId="0" fontId="24" fillId="17" borderId="82" xfId="0" applyFont="1" applyFill="1" applyBorder="1"/>
    <xf numFmtId="0" fontId="41" fillId="17" borderId="11" xfId="0" applyFont="1" applyFill="1" applyBorder="1"/>
    <xf numFmtId="173" fontId="41" fillId="17" borderId="11" xfId="2" applyNumberFormat="1" applyFont="1" applyFill="1" applyBorder="1"/>
    <xf numFmtId="173" fontId="41" fillId="17" borderId="83" xfId="2" applyNumberFormat="1" applyFont="1" applyFill="1" applyBorder="1"/>
    <xf numFmtId="166" fontId="24" fillId="0" borderId="0" xfId="0" applyNumberFormat="1" applyFont="1" applyBorder="1"/>
    <xf numFmtId="166" fontId="24" fillId="0" borderId="65" xfId="0" applyNumberFormat="1" applyFont="1" applyBorder="1"/>
    <xf numFmtId="44" fontId="24" fillId="0" borderId="0" xfId="0" applyNumberFormat="1" applyFont="1" applyBorder="1"/>
    <xf numFmtId="44" fontId="24" fillId="0" borderId="65" xfId="0" applyNumberFormat="1" applyFont="1" applyBorder="1"/>
    <xf numFmtId="0" fontId="24" fillId="0" borderId="74" xfId="0" applyFont="1" applyBorder="1"/>
    <xf numFmtId="173" fontId="24" fillId="0" borderId="75" xfId="0" applyNumberFormat="1" applyFont="1" applyBorder="1"/>
    <xf numFmtId="173" fontId="24" fillId="0" borderId="76" xfId="0" applyNumberFormat="1" applyFont="1" applyBorder="1"/>
    <xf numFmtId="0" fontId="24" fillId="0" borderId="11" xfId="0" applyFont="1" applyBorder="1"/>
    <xf numFmtId="0" fontId="24" fillId="0" borderId="83" xfId="0" applyFont="1" applyBorder="1"/>
    <xf numFmtId="0" fontId="43" fillId="3" borderId="0" xfId="0" applyFont="1" applyFill="1" applyBorder="1" applyAlignment="1"/>
    <xf numFmtId="0" fontId="44" fillId="3" borderId="0" xfId="0" applyFont="1" applyFill="1" applyBorder="1" applyAlignment="1"/>
    <xf numFmtId="0" fontId="24" fillId="3" borderId="0" xfId="0" applyFont="1" applyFill="1" applyBorder="1" applyAlignment="1">
      <alignment horizontal="center"/>
    </xf>
    <xf numFmtId="0" fontId="24" fillId="3" borderId="0" xfId="0" applyFont="1" applyFill="1" applyBorder="1" applyAlignment="1">
      <alignment horizontal="center" vertical="center"/>
    </xf>
    <xf numFmtId="0" fontId="24" fillId="3" borderId="0" xfId="0" applyFont="1" applyFill="1" applyAlignment="1">
      <alignment horizontal="center"/>
    </xf>
    <xf numFmtId="0" fontId="45" fillId="4" borderId="81" xfId="0" applyFont="1" applyFill="1" applyBorder="1" applyAlignment="1">
      <alignment horizontal="center" wrapText="1"/>
    </xf>
    <xf numFmtId="0" fontId="45" fillId="4" borderId="72" xfId="0" applyFont="1" applyFill="1" applyBorder="1" applyAlignment="1">
      <alignment horizontal="center" wrapText="1"/>
    </xf>
    <xf numFmtId="0" fontId="45" fillId="4" borderId="73" xfId="0" applyFont="1" applyFill="1" applyBorder="1" applyAlignment="1">
      <alignment horizontal="center" wrapText="1"/>
    </xf>
    <xf numFmtId="0" fontId="45" fillId="4" borderId="81" xfId="0" applyFont="1" applyFill="1" applyBorder="1" applyAlignment="1">
      <alignment horizontal="center"/>
    </xf>
    <xf numFmtId="0" fontId="24" fillId="3" borderId="0" xfId="0" applyFont="1" applyFill="1" applyAlignment="1">
      <alignment horizontal="center" vertical="center"/>
    </xf>
    <xf numFmtId="166" fontId="47" fillId="3" borderId="23" xfId="0" applyNumberFormat="1" applyFont="1" applyFill="1" applyBorder="1" applyAlignment="1">
      <alignment horizontal="left"/>
    </xf>
    <xf numFmtId="164" fontId="24" fillId="3" borderId="0" xfId="5" applyNumberFormat="1" applyFont="1" applyFill="1" applyBorder="1"/>
    <xf numFmtId="164" fontId="24" fillId="3" borderId="84" xfId="5" applyNumberFormat="1" applyFont="1" applyFill="1" applyBorder="1"/>
    <xf numFmtId="0" fontId="24" fillId="3" borderId="33" xfId="0" applyFont="1" applyFill="1" applyBorder="1"/>
    <xf numFmtId="166" fontId="24" fillId="3" borderId="12" xfId="0" applyNumberFormat="1" applyFont="1" applyFill="1" applyBorder="1" applyAlignment="1">
      <alignment horizontal="center"/>
    </xf>
    <xf numFmtId="164" fontId="24" fillId="3" borderId="35" xfId="5" applyNumberFormat="1" applyFont="1" applyFill="1" applyBorder="1"/>
    <xf numFmtId="164" fontId="24" fillId="3" borderId="65" xfId="5" applyNumberFormat="1" applyFont="1" applyFill="1" applyBorder="1"/>
    <xf numFmtId="164" fontId="24" fillId="3" borderId="12" xfId="5" applyNumberFormat="1" applyFont="1" applyFill="1" applyBorder="1"/>
    <xf numFmtId="164" fontId="24" fillId="0" borderId="0" xfId="0" applyNumberFormat="1" applyFont="1" applyBorder="1"/>
    <xf numFmtId="43" fontId="47" fillId="3" borderId="23" xfId="0" applyNumberFormat="1" applyFont="1" applyFill="1" applyBorder="1" applyAlignment="1">
      <alignment horizontal="left"/>
    </xf>
    <xf numFmtId="164" fontId="24" fillId="3" borderId="0" xfId="0" applyNumberFormat="1" applyFont="1" applyFill="1"/>
    <xf numFmtId="0" fontId="47" fillId="3" borderId="23" xfId="0" applyFont="1" applyFill="1" applyBorder="1"/>
    <xf numFmtId="164" fontId="24" fillId="3" borderId="0" xfId="5" applyNumberFormat="1" applyFont="1" applyFill="1" applyBorder="1" applyAlignment="1">
      <alignment vertical="top" wrapText="1"/>
    </xf>
    <xf numFmtId="164" fontId="24" fillId="3" borderId="17" xfId="5" applyNumberFormat="1" applyFont="1" applyFill="1" applyBorder="1"/>
    <xf numFmtId="0" fontId="41" fillId="3" borderId="82" xfId="0" applyFont="1" applyFill="1" applyBorder="1"/>
    <xf numFmtId="166" fontId="41" fillId="3" borderId="11" xfId="0" applyNumberFormat="1" applyFont="1" applyFill="1" applyBorder="1"/>
    <xf numFmtId="166" fontId="41" fillId="3" borderId="31" xfId="0" applyNumberFormat="1" applyFont="1" applyFill="1" applyBorder="1"/>
    <xf numFmtId="0" fontId="24" fillId="3" borderId="85" xfId="0" applyFont="1" applyFill="1" applyBorder="1"/>
    <xf numFmtId="164" fontId="24" fillId="3" borderId="86" xfId="5" applyNumberFormat="1" applyFont="1" applyFill="1" applyBorder="1"/>
    <xf numFmtId="166" fontId="24" fillId="3" borderId="80" xfId="0" applyNumberFormat="1" applyFont="1" applyFill="1" applyBorder="1" applyAlignment="1">
      <alignment horizontal="center"/>
    </xf>
    <xf numFmtId="164" fontId="24" fillId="3" borderId="80" xfId="5" applyNumberFormat="1" applyFont="1" applyFill="1" applyBorder="1"/>
    <xf numFmtId="164" fontId="24" fillId="3" borderId="76" xfId="5" applyNumberFormat="1" applyFont="1" applyFill="1" applyBorder="1"/>
    <xf numFmtId="0" fontId="41" fillId="3" borderId="78" xfId="0" applyFont="1" applyFill="1" applyBorder="1"/>
    <xf numFmtId="166" fontId="41" fillId="3" borderId="78" xfId="0" applyNumberFormat="1" applyFont="1" applyFill="1" applyBorder="1"/>
    <xf numFmtId="0" fontId="45" fillId="4" borderId="72" xfId="0" applyFont="1" applyFill="1" applyBorder="1" applyAlignment="1">
      <alignment horizontal="center"/>
    </xf>
    <xf numFmtId="0" fontId="45" fillId="4" borderId="73" xfId="0" applyFont="1" applyFill="1" applyBorder="1" applyAlignment="1">
      <alignment horizontal="center"/>
    </xf>
    <xf numFmtId="0" fontId="17" fillId="3" borderId="0" xfId="0" applyFont="1" applyFill="1" applyBorder="1"/>
    <xf numFmtId="1" fontId="24" fillId="3" borderId="23" xfId="0" applyNumberFormat="1" applyFont="1" applyFill="1" applyBorder="1"/>
    <xf numFmtId="167" fontId="24" fillId="3" borderId="0" xfId="6" applyNumberFormat="1" applyFont="1" applyFill="1" applyBorder="1"/>
    <xf numFmtId="43" fontId="24" fillId="3" borderId="0" xfId="1" applyFont="1" applyFill="1" applyBorder="1"/>
    <xf numFmtId="167" fontId="24" fillId="3" borderId="84" xfId="6" applyNumberFormat="1" applyFont="1" applyFill="1" applyBorder="1"/>
    <xf numFmtId="1" fontId="24" fillId="3" borderId="66" xfId="0" applyNumberFormat="1" applyFont="1" applyFill="1" applyBorder="1"/>
    <xf numFmtId="167" fontId="24" fillId="3" borderId="67" xfId="5" applyNumberFormat="1" applyFont="1" applyFill="1" applyBorder="1"/>
    <xf numFmtId="43" fontId="24" fillId="3" borderId="67" xfId="1" applyFont="1" applyFill="1" applyBorder="1"/>
    <xf numFmtId="167" fontId="24" fillId="3" borderId="28" xfId="5" applyNumberFormat="1" applyFont="1" applyFill="1" applyBorder="1"/>
    <xf numFmtId="164" fontId="24" fillId="3" borderId="67" xfId="5" applyNumberFormat="1" applyFont="1" applyFill="1" applyBorder="1"/>
    <xf numFmtId="43" fontId="24" fillId="3" borderId="28" xfId="1" applyFont="1" applyFill="1" applyBorder="1"/>
    <xf numFmtId="43" fontId="24" fillId="3" borderId="84" xfId="1" applyFont="1" applyFill="1" applyBorder="1"/>
    <xf numFmtId="1" fontId="24" fillId="3" borderId="70" xfId="0" applyNumberFormat="1" applyFont="1" applyFill="1" applyBorder="1"/>
    <xf numFmtId="43" fontId="24" fillId="3" borderId="10" xfId="1" applyFont="1" applyFill="1" applyBorder="1"/>
    <xf numFmtId="164" fontId="24" fillId="3" borderId="87" xfId="5" applyNumberFormat="1" applyFont="1" applyFill="1" applyBorder="1"/>
    <xf numFmtId="164" fontId="24" fillId="3" borderId="28" xfId="5" applyNumberFormat="1" applyFont="1" applyFill="1" applyBorder="1"/>
    <xf numFmtId="43" fontId="24" fillId="0" borderId="0" xfId="0" applyNumberFormat="1" applyFont="1" applyBorder="1"/>
    <xf numFmtId="43" fontId="17" fillId="3" borderId="0" xfId="0" applyNumberFormat="1" applyFont="1" applyFill="1" applyBorder="1"/>
    <xf numFmtId="41" fontId="24" fillId="0" borderId="0" xfId="0" applyNumberFormat="1" applyFont="1" applyBorder="1"/>
    <xf numFmtId="166" fontId="24" fillId="0" borderId="0" xfId="0" applyNumberFormat="1" applyFont="1"/>
    <xf numFmtId="1" fontId="24" fillId="3" borderId="82" xfId="0" applyNumberFormat="1" applyFont="1" applyFill="1" applyBorder="1"/>
    <xf numFmtId="166" fontId="41" fillId="3" borderId="11" xfId="6" applyNumberFormat="1" applyFont="1" applyFill="1" applyBorder="1"/>
    <xf numFmtId="166" fontId="41" fillId="3" borderId="31" xfId="6" applyNumberFormat="1" applyFont="1" applyFill="1" applyBorder="1"/>
    <xf numFmtId="0" fontId="48" fillId="3" borderId="0" xfId="0" applyFont="1" applyFill="1" applyBorder="1"/>
    <xf numFmtId="167" fontId="24" fillId="0" borderId="0" xfId="0" applyNumberFormat="1" applyFont="1" applyBorder="1"/>
    <xf numFmtId="172" fontId="24" fillId="0" borderId="0" xfId="0" applyNumberFormat="1" applyFont="1"/>
    <xf numFmtId="0" fontId="41" fillId="3" borderId="0" xfId="0" applyFont="1" applyFill="1" applyBorder="1"/>
    <xf numFmtId="166" fontId="41" fillId="3" borderId="0" xfId="0" applyNumberFormat="1" applyFont="1" applyFill="1" applyBorder="1"/>
    <xf numFmtId="172" fontId="24" fillId="0" borderId="0" xfId="0" applyNumberFormat="1" applyFont="1" applyBorder="1"/>
    <xf numFmtId="0" fontId="45" fillId="4" borderId="26" xfId="0" applyFont="1" applyFill="1" applyBorder="1" applyAlignment="1">
      <alignment horizontal="center"/>
    </xf>
    <xf numFmtId="1" fontId="24" fillId="0" borderId="23" xfId="0" applyNumberFormat="1" applyFont="1" applyBorder="1"/>
    <xf numFmtId="166" fontId="24" fillId="3" borderId="0" xfId="6" applyNumberFormat="1" applyFont="1" applyFill="1" applyBorder="1"/>
    <xf numFmtId="166" fontId="24" fillId="3" borderId="84" xfId="6" applyNumberFormat="1" applyFont="1" applyFill="1" applyBorder="1"/>
    <xf numFmtId="167" fontId="24" fillId="3" borderId="0" xfId="1" applyNumberFormat="1" applyFont="1" applyFill="1" applyBorder="1"/>
    <xf numFmtId="167" fontId="24" fillId="3" borderId="84" xfId="1" applyNumberFormat="1" applyFont="1" applyFill="1" applyBorder="1"/>
    <xf numFmtId="1" fontId="24" fillId="0" borderId="66" xfId="0" applyNumberFormat="1" applyFont="1" applyBorder="1"/>
    <xf numFmtId="1" fontId="24" fillId="0" borderId="0" xfId="0" applyNumberFormat="1" applyFont="1" applyBorder="1"/>
    <xf numFmtId="1" fontId="24" fillId="0" borderId="82" xfId="0" applyNumberFormat="1" applyFont="1" applyBorder="1"/>
    <xf numFmtId="166" fontId="41" fillId="0" borderId="11" xfId="6" applyNumberFormat="1" applyFont="1" applyBorder="1"/>
    <xf numFmtId="166" fontId="41" fillId="0" borderId="31" xfId="6" applyNumberFormat="1" applyFont="1" applyBorder="1"/>
    <xf numFmtId="44" fontId="24" fillId="0" borderId="0" xfId="0" applyNumberFormat="1" applyFont="1"/>
    <xf numFmtId="164" fontId="24" fillId="0" borderId="0" xfId="0" applyNumberFormat="1" applyFont="1"/>
    <xf numFmtId="0" fontId="24" fillId="0" borderId="81" xfId="0" applyFont="1" applyBorder="1" applyAlignment="1">
      <alignment horizontal="center"/>
    </xf>
    <xf numFmtId="0" fontId="24" fillId="0" borderId="72" xfId="0" applyFont="1" applyBorder="1" applyAlignment="1">
      <alignment horizontal="center"/>
    </xf>
    <xf numFmtId="0" fontId="24" fillId="0" borderId="73" xfId="0" applyFont="1" applyBorder="1" applyAlignment="1">
      <alignment horizontal="center"/>
    </xf>
    <xf numFmtId="167" fontId="24" fillId="0" borderId="65" xfId="0" applyNumberFormat="1" applyFont="1" applyBorder="1"/>
    <xf numFmtId="10" fontId="36" fillId="3" borderId="0" xfId="0" applyNumberFormat="1" applyFont="1" applyFill="1" applyBorder="1" applyAlignment="1">
      <alignment horizontal="left"/>
    </xf>
    <xf numFmtId="9" fontId="0" fillId="0" borderId="0" xfId="0" applyNumberFormat="1"/>
    <xf numFmtId="10" fontId="36" fillId="11" borderId="67" xfId="0" applyNumberFormat="1" applyFont="1" applyFill="1" applyBorder="1" applyAlignment="1"/>
    <xf numFmtId="168" fontId="36" fillId="3" borderId="0" xfId="0" applyNumberFormat="1" applyFont="1" applyFill="1"/>
    <xf numFmtId="10" fontId="36" fillId="3" borderId="24" xfId="3" applyNumberFormat="1" applyFont="1" applyFill="1" applyBorder="1"/>
    <xf numFmtId="0" fontId="36" fillId="3" borderId="0" xfId="1" applyNumberFormat="1" applyFont="1" applyFill="1" applyBorder="1"/>
    <xf numFmtId="10" fontId="35" fillId="3" borderId="81" xfId="3" applyNumberFormat="1" applyFont="1" applyFill="1" applyBorder="1"/>
    <xf numFmtId="0" fontId="36" fillId="3" borderId="0" xfId="0" applyFont="1" applyFill="1" applyBorder="1" applyAlignment="1">
      <alignment horizontal="left"/>
    </xf>
    <xf numFmtId="0" fontId="22" fillId="3" borderId="95" xfId="0" applyFont="1" applyFill="1" applyBorder="1" applyAlignment="1">
      <alignment horizontal="left" indent="3"/>
    </xf>
    <xf numFmtId="43" fontId="22" fillId="3" borderId="98" xfId="1" applyNumberFormat="1" applyFont="1" applyFill="1" applyBorder="1"/>
    <xf numFmtId="167" fontId="7" fillId="0" borderId="0" xfId="0" applyNumberFormat="1" applyFont="1"/>
    <xf numFmtId="43" fontId="36" fillId="9" borderId="0" xfId="1" applyFont="1" applyFill="1" applyBorder="1"/>
    <xf numFmtId="44" fontId="36" fillId="9" borderId="0" xfId="2" applyFont="1" applyFill="1" applyBorder="1"/>
    <xf numFmtId="44" fontId="36" fillId="9" borderId="0" xfId="2" applyNumberFormat="1" applyFont="1" applyFill="1" applyBorder="1"/>
    <xf numFmtId="172" fontId="0" fillId="0" borderId="0" xfId="0" applyNumberFormat="1"/>
    <xf numFmtId="9" fontId="0" fillId="0" borderId="0" xfId="3" applyFont="1"/>
    <xf numFmtId="0" fontId="22" fillId="3" borderId="0" xfId="0" applyFont="1" applyFill="1" applyBorder="1" applyAlignment="1">
      <alignment horizontal="left" indent="3"/>
    </xf>
    <xf numFmtId="43" fontId="22" fillId="3" borderId="0" xfId="1" applyNumberFormat="1" applyFont="1" applyFill="1" applyBorder="1"/>
    <xf numFmtId="38" fontId="36" fillId="18" borderId="5" xfId="0" applyNumberFormat="1" applyFont="1" applyFill="1" applyBorder="1"/>
    <xf numFmtId="38" fontId="36" fillId="18" borderId="46" xfId="0" applyNumberFormat="1" applyFont="1" applyFill="1" applyBorder="1"/>
    <xf numFmtId="44" fontId="36" fillId="18" borderId="6" xfId="2" applyFont="1" applyFill="1" applyBorder="1"/>
    <xf numFmtId="41" fontId="36" fillId="18" borderId="5" xfId="0" applyNumberFormat="1" applyFont="1" applyFill="1" applyBorder="1"/>
    <xf numFmtId="41" fontId="36" fillId="18" borderId="6" xfId="2" applyNumberFormat="1" applyFont="1" applyFill="1" applyBorder="1"/>
    <xf numFmtId="41" fontId="36" fillId="18" borderId="46" xfId="0" applyNumberFormat="1" applyFont="1" applyFill="1" applyBorder="1"/>
    <xf numFmtId="0" fontId="52" fillId="12" borderId="78" xfId="0" applyFont="1" applyFill="1" applyBorder="1" applyAlignment="1">
      <alignment horizontal="center"/>
    </xf>
    <xf numFmtId="0" fontId="52" fillId="12" borderId="99" xfId="0" applyFont="1" applyFill="1" applyBorder="1" applyAlignment="1">
      <alignment horizontal="center"/>
    </xf>
    <xf numFmtId="0" fontId="52" fillId="12" borderId="39" xfId="0" applyFont="1" applyFill="1" applyBorder="1" applyAlignment="1">
      <alignment horizontal="center"/>
    </xf>
    <xf numFmtId="0" fontId="52" fillId="12" borderId="79" xfId="0" applyFont="1" applyFill="1" applyBorder="1" applyAlignment="1">
      <alignment horizontal="center"/>
    </xf>
    <xf numFmtId="41" fontId="52" fillId="19" borderId="88" xfId="1" applyNumberFormat="1" applyFont="1" applyFill="1" applyBorder="1"/>
    <xf numFmtId="42" fontId="52" fillId="19" borderId="88" xfId="1" applyNumberFormat="1" applyFont="1" applyFill="1" applyBorder="1"/>
    <xf numFmtId="42" fontId="52" fillId="19" borderId="92" xfId="1" applyNumberFormat="1" applyFont="1" applyFill="1" applyBorder="1"/>
    <xf numFmtId="42" fontId="52" fillId="19" borderId="108" xfId="1" applyNumberFormat="1" applyFont="1" applyFill="1" applyBorder="1"/>
    <xf numFmtId="42" fontId="52" fillId="19" borderId="105" xfId="1" applyNumberFormat="1" applyFont="1" applyFill="1" applyBorder="1"/>
    <xf numFmtId="0" fontId="53" fillId="19" borderId="90" xfId="0" applyFont="1" applyFill="1" applyBorder="1"/>
    <xf numFmtId="167" fontId="52" fillId="19" borderId="100" xfId="0" applyNumberFormat="1" applyFont="1" applyFill="1" applyBorder="1"/>
    <xf numFmtId="167" fontId="52" fillId="19" borderId="109" xfId="0" applyNumberFormat="1" applyFont="1" applyFill="1" applyBorder="1"/>
    <xf numFmtId="167" fontId="52" fillId="19" borderId="106" xfId="0" applyNumberFormat="1" applyFont="1" applyFill="1" applyBorder="1"/>
    <xf numFmtId="167" fontId="52" fillId="19" borderId="90" xfId="0" applyNumberFormat="1" applyFont="1" applyFill="1" applyBorder="1"/>
    <xf numFmtId="167" fontId="52" fillId="13" borderId="88" xfId="1" applyNumberFormat="1" applyFont="1" applyFill="1" applyBorder="1"/>
    <xf numFmtId="167" fontId="52" fillId="13" borderId="89" xfId="1" applyNumberFormat="1" applyFont="1" applyFill="1" applyBorder="1"/>
    <xf numFmtId="167" fontId="52" fillId="13" borderId="101" xfId="1" applyNumberFormat="1" applyFont="1" applyFill="1" applyBorder="1"/>
    <xf numFmtId="167" fontId="52" fillId="13" borderId="110" xfId="1" applyNumberFormat="1" applyFont="1" applyFill="1" applyBorder="1"/>
    <xf numFmtId="167" fontId="52" fillId="13" borderId="107" xfId="1" applyNumberFormat="1" applyFont="1" applyFill="1" applyBorder="1"/>
    <xf numFmtId="167" fontId="52" fillId="13" borderId="94" xfId="1" applyNumberFormat="1" applyFont="1" applyFill="1" applyBorder="1"/>
    <xf numFmtId="43" fontId="23" fillId="3" borderId="98" xfId="1" applyNumberFormat="1" applyFont="1" applyFill="1" applyBorder="1"/>
    <xf numFmtId="43" fontId="23" fillId="3" borderId="75" xfId="1" applyNumberFormat="1" applyFont="1" applyFill="1" applyBorder="1"/>
    <xf numFmtId="43" fontId="23" fillId="3" borderId="104" xfId="1" applyNumberFormat="1" applyFont="1" applyFill="1" applyBorder="1"/>
    <xf numFmtId="43" fontId="23" fillId="3" borderId="40" xfId="1" applyNumberFormat="1" applyFont="1" applyFill="1" applyBorder="1"/>
    <xf numFmtId="43" fontId="23" fillId="3" borderId="76" xfId="1" applyNumberFormat="1" applyFont="1" applyFill="1" applyBorder="1"/>
    <xf numFmtId="43" fontId="23" fillId="3" borderId="0" xfId="1" applyNumberFormat="1" applyFont="1" applyFill="1" applyBorder="1"/>
    <xf numFmtId="0" fontId="54" fillId="3" borderId="0" xfId="0" applyFont="1" applyFill="1"/>
    <xf numFmtId="0" fontId="54" fillId="3" borderId="0" xfId="0" applyFont="1" applyFill="1" applyBorder="1"/>
    <xf numFmtId="167" fontId="52" fillId="13" borderId="93" xfId="1" applyNumberFormat="1" applyFont="1" applyFill="1" applyBorder="1"/>
    <xf numFmtId="167" fontId="52" fillId="13" borderId="102" xfId="1" applyNumberFormat="1" applyFont="1" applyFill="1" applyBorder="1"/>
    <xf numFmtId="167" fontId="52" fillId="13" borderId="111" xfId="1" applyNumberFormat="1" applyFont="1" applyFill="1" applyBorder="1"/>
    <xf numFmtId="172" fontId="52" fillId="13" borderId="96" xfId="1" applyNumberFormat="1" applyFont="1" applyFill="1" applyBorder="1"/>
    <xf numFmtId="167" fontId="52" fillId="13" borderId="96" xfId="1" applyNumberFormat="1" applyFont="1" applyFill="1" applyBorder="1"/>
    <xf numFmtId="0" fontId="16" fillId="13" borderId="91" xfId="0" applyFont="1" applyFill="1" applyBorder="1" applyAlignment="1">
      <alignment horizontal="left" indent="1"/>
    </xf>
    <xf numFmtId="167" fontId="16" fillId="13" borderId="88" xfId="1" applyNumberFormat="1" applyFont="1" applyFill="1" applyBorder="1"/>
    <xf numFmtId="167" fontId="52" fillId="13" borderId="92" xfId="1" applyNumberFormat="1" applyFont="1" applyFill="1" applyBorder="1"/>
    <xf numFmtId="0" fontId="53" fillId="0" borderId="0" xfId="0" applyFont="1"/>
    <xf numFmtId="0" fontId="53" fillId="0" borderId="93" xfId="0" applyFont="1" applyBorder="1"/>
    <xf numFmtId="0" fontId="53" fillId="0" borderId="102" xfId="0" applyFont="1" applyBorder="1"/>
    <xf numFmtId="0" fontId="53" fillId="0" borderId="111" xfId="0" applyFont="1" applyBorder="1"/>
    <xf numFmtId="0" fontId="53" fillId="0" borderId="96" xfId="0" applyFont="1" applyBorder="1"/>
    <xf numFmtId="0" fontId="16" fillId="0" borderId="97" xfId="0" applyFont="1" applyFill="1" applyBorder="1" applyAlignment="1">
      <alignment horizontal="left" indent="1"/>
    </xf>
    <xf numFmtId="167" fontId="16" fillId="0" borderId="93" xfId="1" applyNumberFormat="1" applyFont="1" applyFill="1" applyBorder="1"/>
    <xf numFmtId="167" fontId="52" fillId="0" borderId="93" xfId="1" applyNumberFormat="1" applyFont="1" applyFill="1" applyBorder="1"/>
    <xf numFmtId="169" fontId="52" fillId="0" borderId="93" xfId="1" applyNumberFormat="1" applyFont="1" applyFill="1" applyBorder="1"/>
    <xf numFmtId="167" fontId="52" fillId="0" borderId="96" xfId="1" applyNumberFormat="1" applyFont="1" applyFill="1" applyBorder="1"/>
    <xf numFmtId="167" fontId="52" fillId="0" borderId="102" xfId="1" applyNumberFormat="1" applyFont="1" applyFill="1" applyBorder="1"/>
    <xf numFmtId="167" fontId="52" fillId="0" borderId="111" xfId="1" applyNumberFormat="1" applyFont="1" applyFill="1" applyBorder="1"/>
    <xf numFmtId="0" fontId="38" fillId="3" borderId="97" xfId="0" applyFont="1" applyFill="1" applyBorder="1"/>
    <xf numFmtId="164" fontId="38" fillId="3" borderId="93" xfId="1" applyNumberFormat="1" applyFont="1" applyFill="1" applyBorder="1"/>
    <xf numFmtId="164" fontId="52" fillId="3" borderId="93" xfId="1" applyNumberFormat="1" applyFont="1" applyFill="1" applyBorder="1"/>
    <xf numFmtId="164" fontId="52" fillId="3" borderId="96" xfId="1" applyNumberFormat="1" applyFont="1" applyFill="1" applyBorder="1"/>
    <xf numFmtId="164" fontId="52" fillId="3" borderId="102" xfId="1" applyNumberFormat="1" applyFont="1" applyFill="1" applyBorder="1"/>
    <xf numFmtId="164" fontId="52" fillId="3" borderId="111" xfId="1" applyNumberFormat="1" applyFont="1" applyFill="1" applyBorder="1"/>
    <xf numFmtId="0" fontId="16" fillId="3" borderId="97" xfId="0" applyFont="1" applyFill="1" applyBorder="1"/>
    <xf numFmtId="164" fontId="16" fillId="3" borderId="93" xfId="1" applyNumberFormat="1" applyFont="1" applyFill="1" applyBorder="1"/>
    <xf numFmtId="44" fontId="52" fillId="3" borderId="93" xfId="2" applyFont="1" applyFill="1" applyBorder="1"/>
    <xf numFmtId="44" fontId="52" fillId="10" borderId="93" xfId="2" applyFont="1" applyFill="1" applyBorder="1"/>
    <xf numFmtId="44" fontId="52" fillId="3" borderId="96" xfId="2" applyFont="1" applyFill="1" applyBorder="1"/>
    <xf numFmtId="44" fontId="52" fillId="3" borderId="103" xfId="2" applyFont="1" applyFill="1" applyBorder="1"/>
    <xf numFmtId="44" fontId="52" fillId="3" borderId="111" xfId="2" applyFont="1" applyFill="1" applyBorder="1"/>
    <xf numFmtId="44" fontId="52" fillId="3" borderId="120" xfId="2" applyFont="1" applyFill="1" applyBorder="1"/>
    <xf numFmtId="44" fontId="52" fillId="3" borderId="119" xfId="2" applyFont="1" applyFill="1" applyBorder="1"/>
    <xf numFmtId="164" fontId="16" fillId="3" borderId="93" xfId="2" applyNumberFormat="1" applyFont="1" applyFill="1" applyBorder="1"/>
    <xf numFmtId="42" fontId="52" fillId="3" borderId="93" xfId="2" applyNumberFormat="1" applyFont="1" applyFill="1" applyBorder="1"/>
    <xf numFmtId="42" fontId="52" fillId="3" borderId="111" xfId="2" applyNumberFormat="1" applyFont="1" applyFill="1" applyBorder="1"/>
    <xf numFmtId="42" fontId="52" fillId="3" borderId="96" xfId="2" applyNumberFormat="1" applyFont="1" applyFill="1" applyBorder="1"/>
    <xf numFmtId="0" fontId="16" fillId="8" borderId="97" xfId="0" applyFont="1" applyFill="1" applyBorder="1" applyAlignment="1">
      <alignment horizontal="left" indent="3"/>
    </xf>
    <xf numFmtId="164" fontId="16" fillId="8" borderId="93" xfId="1" applyNumberFormat="1" applyFont="1" applyFill="1" applyBorder="1"/>
    <xf numFmtId="42" fontId="52" fillId="8" borderId="93" xfId="1" applyNumberFormat="1" applyFont="1" applyFill="1" applyBorder="1"/>
    <xf numFmtId="42" fontId="52" fillId="8" borderId="96" xfId="1" applyNumberFormat="1" applyFont="1" applyFill="1" applyBorder="1"/>
    <xf numFmtId="42" fontId="52" fillId="8" borderId="102" xfId="1" applyNumberFormat="1" applyFont="1" applyFill="1" applyBorder="1"/>
    <xf numFmtId="42" fontId="52" fillId="8" borderId="111" xfId="1" applyNumberFormat="1" applyFont="1" applyFill="1" applyBorder="1"/>
    <xf numFmtId="0" fontId="16" fillId="3" borderId="97" xfId="0" applyFont="1" applyFill="1" applyBorder="1" applyAlignment="1">
      <alignment horizontal="left" indent="3"/>
    </xf>
    <xf numFmtId="0" fontId="16" fillId="19" borderId="97" xfId="0" applyFont="1" applyFill="1" applyBorder="1" applyAlignment="1">
      <alignment horizontal="left" indent="3"/>
    </xf>
    <xf numFmtId="42" fontId="16" fillId="19" borderId="93" xfId="1" applyNumberFormat="1" applyFont="1" applyFill="1" applyBorder="1"/>
    <xf numFmtId="42" fontId="52" fillId="19" borderId="93" xfId="1" applyNumberFormat="1" applyFont="1" applyFill="1" applyBorder="1"/>
    <xf numFmtId="42" fontId="52" fillId="19" borderId="102" xfId="1" applyNumberFormat="1" applyFont="1" applyFill="1" applyBorder="1"/>
    <xf numFmtId="42" fontId="52" fillId="19" borderId="111" xfId="1" applyNumberFormat="1" applyFont="1" applyFill="1" applyBorder="1"/>
    <xf numFmtId="42" fontId="52" fillId="19" borderId="96" xfId="1" applyNumberFormat="1" applyFont="1" applyFill="1" applyBorder="1"/>
    <xf numFmtId="0" fontId="16" fillId="20" borderId="97" xfId="0" applyFont="1" applyFill="1" applyBorder="1" applyAlignment="1">
      <alignment horizontal="left" indent="1"/>
    </xf>
    <xf numFmtId="164" fontId="38" fillId="20" borderId="93" xfId="1" applyNumberFormat="1" applyFont="1" applyFill="1" applyBorder="1"/>
    <xf numFmtId="43" fontId="53" fillId="20" borderId="93" xfId="1" applyFont="1" applyFill="1" applyBorder="1"/>
    <xf numFmtId="43" fontId="53" fillId="20" borderId="96" xfId="1" applyFont="1" applyFill="1" applyBorder="1"/>
    <xf numFmtId="43" fontId="53" fillId="20" borderId="102" xfId="1" applyFont="1" applyFill="1" applyBorder="1"/>
    <xf numFmtId="43" fontId="53" fillId="20" borderId="111" xfId="1" applyFont="1" applyFill="1" applyBorder="1"/>
    <xf numFmtId="49" fontId="38" fillId="20" borderId="97" xfId="0" applyNumberFormat="1" applyFont="1" applyFill="1" applyBorder="1" applyAlignment="1">
      <alignment horizontal="left" indent="3"/>
    </xf>
    <xf numFmtId="43" fontId="38" fillId="20" borderId="93" xfId="1" applyFont="1" applyFill="1" applyBorder="1" applyAlignment="1">
      <alignment horizontal="left" indent="3"/>
    </xf>
    <xf numFmtId="10" fontId="52" fillId="20" borderId="93" xfId="3" applyNumberFormat="1" applyFont="1" applyFill="1" applyBorder="1" applyAlignment="1">
      <alignment horizontal="left" indent="3"/>
    </xf>
    <xf numFmtId="44" fontId="52" fillId="20" borderId="93" xfId="2" applyFont="1" applyFill="1" applyBorder="1" applyAlignment="1">
      <alignment horizontal="left" indent="3"/>
    </xf>
    <xf numFmtId="41" fontId="52" fillId="20" borderId="96" xfId="2" applyNumberFormat="1" applyFont="1" applyFill="1" applyBorder="1" applyAlignment="1">
      <alignment horizontal="left" indent="3"/>
    </xf>
    <xf numFmtId="41" fontId="52" fillId="20" borderId="102" xfId="2" applyNumberFormat="1" applyFont="1" applyFill="1" applyBorder="1" applyAlignment="1">
      <alignment horizontal="left" indent="3"/>
    </xf>
    <xf numFmtId="41" fontId="52" fillId="20" borderId="111" xfId="2" applyNumberFormat="1" applyFont="1" applyFill="1" applyBorder="1" applyAlignment="1">
      <alignment horizontal="left" indent="3"/>
    </xf>
    <xf numFmtId="41" fontId="52" fillId="20" borderId="93" xfId="2" applyNumberFormat="1" applyFont="1" applyFill="1" applyBorder="1" applyAlignment="1">
      <alignment horizontal="left" indent="3"/>
    </xf>
    <xf numFmtId="0" fontId="38" fillId="20" borderId="97" xfId="0" applyFont="1" applyFill="1" applyBorder="1" applyAlignment="1">
      <alignment horizontal="left" indent="3"/>
    </xf>
    <xf numFmtId="43" fontId="38" fillId="20" borderId="93" xfId="1" applyFont="1" applyFill="1" applyBorder="1" applyAlignment="1">
      <alignment horizontal="right" indent="3"/>
    </xf>
    <xf numFmtId="9" fontId="52" fillId="20" borderId="93" xfId="3" applyFont="1" applyFill="1" applyBorder="1" applyAlignment="1">
      <alignment horizontal="right" indent="3"/>
    </xf>
    <xf numFmtId="43" fontId="52" fillId="20" borderId="93" xfId="1" applyFont="1" applyFill="1" applyBorder="1" applyAlignment="1">
      <alignment horizontal="left" indent="3"/>
    </xf>
    <xf numFmtId="41" fontId="52" fillId="20" borderId="96" xfId="1" applyNumberFormat="1" applyFont="1" applyFill="1" applyBorder="1" applyAlignment="1">
      <alignment horizontal="right" indent="3"/>
    </xf>
    <xf numFmtId="41" fontId="52" fillId="20" borderId="102" xfId="1" applyNumberFormat="1" applyFont="1" applyFill="1" applyBorder="1" applyAlignment="1">
      <alignment horizontal="right" indent="3"/>
    </xf>
    <xf numFmtId="41" fontId="52" fillId="20" borderId="111" xfId="1" applyNumberFormat="1" applyFont="1" applyFill="1" applyBorder="1" applyAlignment="1">
      <alignment horizontal="right" indent="3"/>
    </xf>
    <xf numFmtId="41" fontId="52" fillId="20" borderId="93" xfId="1" applyNumberFormat="1" applyFont="1" applyFill="1" applyBorder="1" applyAlignment="1">
      <alignment horizontal="right" indent="3"/>
    </xf>
    <xf numFmtId="43" fontId="52" fillId="20" borderId="93" xfId="1" applyFont="1" applyFill="1" applyBorder="1" applyAlignment="1">
      <alignment horizontal="right" indent="3"/>
    </xf>
    <xf numFmtId="167" fontId="16" fillId="20" borderId="93" xfId="1" applyNumberFormat="1" applyFont="1" applyFill="1" applyBorder="1"/>
    <xf numFmtId="167" fontId="52" fillId="20" borderId="93" xfId="1" applyNumberFormat="1" applyFont="1" applyFill="1" applyBorder="1"/>
    <xf numFmtId="167" fontId="52" fillId="20" borderId="96" xfId="1" applyNumberFormat="1" applyFont="1" applyFill="1" applyBorder="1"/>
    <xf numFmtId="167" fontId="52" fillId="20" borderId="102" xfId="1" applyNumberFormat="1" applyFont="1" applyFill="1" applyBorder="1"/>
    <xf numFmtId="167" fontId="52" fillId="20" borderId="111" xfId="1" applyNumberFormat="1" applyFont="1" applyFill="1" applyBorder="1"/>
    <xf numFmtId="0" fontId="16" fillId="11" borderId="97" xfId="0" applyFont="1" applyFill="1" applyBorder="1" applyAlignment="1">
      <alignment horizontal="left" indent="1"/>
    </xf>
    <xf numFmtId="164" fontId="38" fillId="11" borderId="93" xfId="1" applyNumberFormat="1" applyFont="1" applyFill="1" applyBorder="1"/>
    <xf numFmtId="43" fontId="52" fillId="11" borderId="93" xfId="1" applyFont="1" applyFill="1" applyBorder="1"/>
    <xf numFmtId="43" fontId="52" fillId="11" borderId="96" xfId="1" applyFont="1" applyFill="1" applyBorder="1"/>
    <xf numFmtId="43" fontId="52" fillId="11" borderId="102" xfId="1" applyFont="1" applyFill="1" applyBorder="1"/>
    <xf numFmtId="43" fontId="52" fillId="11" borderId="111" xfId="1" applyFont="1" applyFill="1" applyBorder="1"/>
    <xf numFmtId="0" fontId="38" fillId="11" borderId="97" xfId="0" applyFont="1" applyFill="1" applyBorder="1" applyAlignment="1">
      <alignment horizontal="left" indent="3"/>
    </xf>
    <xf numFmtId="164" fontId="38" fillId="11" borderId="93" xfId="1" applyNumberFormat="1" applyFont="1" applyFill="1" applyBorder="1" applyAlignment="1">
      <alignment horizontal="right" indent="3"/>
    </xf>
    <xf numFmtId="43" fontId="52" fillId="11" borderId="93" xfId="1" applyFont="1" applyFill="1" applyBorder="1" applyAlignment="1">
      <alignment horizontal="right" indent="3"/>
    </xf>
    <xf numFmtId="43" fontId="52" fillId="11" borderId="93" xfId="1" applyFont="1" applyFill="1" applyBorder="1" applyAlignment="1">
      <alignment horizontal="left" indent="3"/>
    </xf>
    <xf numFmtId="43" fontId="52" fillId="11" borderId="96" xfId="1" applyFont="1" applyFill="1" applyBorder="1" applyAlignment="1">
      <alignment horizontal="right" indent="3"/>
    </xf>
    <xf numFmtId="43" fontId="52" fillId="11" borderId="102" xfId="1" applyFont="1" applyFill="1" applyBorder="1" applyAlignment="1">
      <alignment horizontal="right" indent="3"/>
    </xf>
    <xf numFmtId="43" fontId="52" fillId="11" borderId="111" xfId="1" applyFont="1" applyFill="1" applyBorder="1" applyAlignment="1">
      <alignment horizontal="right" indent="3"/>
    </xf>
    <xf numFmtId="164" fontId="52" fillId="11" borderId="93" xfId="1" applyNumberFormat="1" applyFont="1" applyFill="1" applyBorder="1"/>
    <xf numFmtId="164" fontId="52" fillId="11" borderId="96" xfId="1" applyNumberFormat="1" applyFont="1" applyFill="1" applyBorder="1"/>
    <xf numFmtId="164" fontId="52" fillId="11" borderId="102" xfId="1" applyNumberFormat="1" applyFont="1" applyFill="1" applyBorder="1"/>
    <xf numFmtId="164" fontId="52" fillId="11" borderId="111" xfId="1" applyNumberFormat="1" applyFont="1" applyFill="1" applyBorder="1"/>
    <xf numFmtId="167" fontId="16" fillId="11" borderId="93" xfId="1" applyNumberFormat="1" applyFont="1" applyFill="1" applyBorder="1"/>
    <xf numFmtId="167" fontId="52" fillId="11" borderId="93" xfId="1" applyNumberFormat="1" applyFont="1" applyFill="1" applyBorder="1"/>
    <xf numFmtId="167" fontId="52" fillId="11" borderId="96" xfId="1" applyNumberFormat="1" applyFont="1" applyFill="1" applyBorder="1"/>
    <xf numFmtId="167" fontId="52" fillId="11" borderId="102" xfId="1" applyNumberFormat="1" applyFont="1" applyFill="1" applyBorder="1"/>
    <xf numFmtId="167" fontId="52" fillId="11" borderId="111" xfId="1" applyNumberFormat="1" applyFont="1" applyFill="1" applyBorder="1"/>
    <xf numFmtId="0" fontId="16" fillId="21" borderId="97" xfId="0" applyFont="1" applyFill="1" applyBorder="1"/>
    <xf numFmtId="164" fontId="16" fillId="21" borderId="93" xfId="1" applyNumberFormat="1" applyFont="1" applyFill="1" applyBorder="1"/>
    <xf numFmtId="44" fontId="52" fillId="21" borderId="93" xfId="2" applyFont="1" applyFill="1" applyBorder="1"/>
    <xf numFmtId="44" fontId="52" fillId="21" borderId="96" xfId="2" applyFont="1" applyFill="1" applyBorder="1"/>
    <xf numFmtId="164" fontId="52" fillId="21" borderId="102" xfId="1" applyNumberFormat="1" applyFont="1" applyFill="1" applyBorder="1"/>
    <xf numFmtId="44" fontId="52" fillId="21" borderId="111" xfId="2" applyFont="1" applyFill="1" applyBorder="1"/>
    <xf numFmtId="164" fontId="52" fillId="21" borderId="96" xfId="1" applyNumberFormat="1" applyFont="1" applyFill="1" applyBorder="1"/>
    <xf numFmtId="164" fontId="52" fillId="21" borderId="93" xfId="1" applyNumberFormat="1" applyFont="1" applyFill="1" applyBorder="1"/>
    <xf numFmtId="164" fontId="38" fillId="21" borderId="93" xfId="1" applyNumberFormat="1" applyFont="1" applyFill="1" applyBorder="1"/>
    <xf numFmtId="164" fontId="52" fillId="21" borderId="111" xfId="1" applyNumberFormat="1" applyFont="1" applyFill="1" applyBorder="1"/>
    <xf numFmtId="0" fontId="38" fillId="21" borderId="97" xfId="0" applyFont="1" applyFill="1" applyBorder="1"/>
    <xf numFmtId="42" fontId="52" fillId="21" borderId="93" xfId="1" applyNumberFormat="1" applyFont="1" applyFill="1" applyBorder="1"/>
    <xf numFmtId="42" fontId="52" fillId="21" borderId="96" xfId="1" applyNumberFormat="1" applyFont="1" applyFill="1" applyBorder="1"/>
    <xf numFmtId="42" fontId="52" fillId="21" borderId="102" xfId="1" applyNumberFormat="1" applyFont="1" applyFill="1" applyBorder="1"/>
    <xf numFmtId="42" fontId="52" fillId="21" borderId="111" xfId="1" applyNumberFormat="1" applyFont="1" applyFill="1" applyBorder="1"/>
    <xf numFmtId="43" fontId="16" fillId="22" borderId="97" xfId="1" applyFont="1" applyFill="1" applyBorder="1"/>
    <xf numFmtId="168" fontId="16" fillId="22" borderId="93" xfId="1" applyNumberFormat="1" applyFont="1" applyFill="1" applyBorder="1"/>
    <xf numFmtId="168" fontId="52" fillId="22" borderId="93" xfId="1" applyNumberFormat="1" applyFont="1" applyFill="1" applyBorder="1"/>
    <xf numFmtId="168" fontId="52" fillId="22" borderId="96" xfId="1" applyNumberFormat="1" applyFont="1" applyFill="1" applyBorder="1"/>
    <xf numFmtId="168" fontId="52" fillId="22" borderId="119" xfId="1" applyNumberFormat="1" applyFont="1" applyFill="1" applyBorder="1"/>
    <xf numFmtId="0" fontId="16" fillId="23" borderId="97" xfId="0" applyFont="1" applyFill="1" applyBorder="1" applyAlignment="1">
      <alignment horizontal="left" indent="2"/>
    </xf>
    <xf numFmtId="0" fontId="26" fillId="23" borderId="93" xfId="0" applyFont="1" applyFill="1" applyBorder="1"/>
    <xf numFmtId="0" fontId="52" fillId="23" borderId="93" xfId="0" applyFont="1" applyFill="1" applyBorder="1"/>
    <xf numFmtId="0" fontId="52" fillId="23" borderId="96" xfId="0" applyFont="1" applyFill="1" applyBorder="1"/>
    <xf numFmtId="0" fontId="52" fillId="23" borderId="102" xfId="0" applyFont="1" applyFill="1" applyBorder="1"/>
    <xf numFmtId="0" fontId="52" fillId="23" borderId="111" xfId="0" applyFont="1" applyFill="1" applyBorder="1"/>
    <xf numFmtId="0" fontId="38" fillId="23" borderId="97" xfId="0" applyFont="1" applyFill="1" applyBorder="1" applyAlignment="1">
      <alignment horizontal="left" indent="4"/>
    </xf>
    <xf numFmtId="164" fontId="38" fillId="23" borderId="93" xfId="1" applyNumberFormat="1" applyFont="1" applyFill="1" applyBorder="1"/>
    <xf numFmtId="164" fontId="52" fillId="23" borderId="93" xfId="1" applyNumberFormat="1" applyFont="1" applyFill="1" applyBorder="1"/>
    <xf numFmtId="164" fontId="52" fillId="23" borderId="96" xfId="1" applyNumberFormat="1" applyFont="1" applyFill="1" applyBorder="1"/>
    <xf numFmtId="164" fontId="52" fillId="23" borderId="102" xfId="1" applyNumberFormat="1" applyFont="1" applyFill="1" applyBorder="1"/>
    <xf numFmtId="164" fontId="52" fillId="23" borderId="111" xfId="1" applyNumberFormat="1" applyFont="1" applyFill="1" applyBorder="1"/>
    <xf numFmtId="164" fontId="52" fillId="23" borderId="93" xfId="0" applyNumberFormat="1" applyFont="1" applyFill="1" applyBorder="1"/>
    <xf numFmtId="164" fontId="52" fillId="23" borderId="96" xfId="0" applyNumberFormat="1" applyFont="1" applyFill="1" applyBorder="1"/>
    <xf numFmtId="164" fontId="52" fillId="23" borderId="102" xfId="0" applyNumberFormat="1" applyFont="1" applyFill="1" applyBorder="1"/>
    <xf numFmtId="164" fontId="52" fillId="23" borderId="111" xfId="0" applyNumberFormat="1" applyFont="1" applyFill="1" applyBorder="1"/>
    <xf numFmtId="0" fontId="55" fillId="24" borderId="0" xfId="0" applyFont="1" applyFill="1" applyBorder="1" applyAlignment="1">
      <alignment horizontal="left"/>
    </xf>
    <xf numFmtId="43" fontId="55" fillId="24" borderId="0" xfId="1" applyFont="1" applyFill="1" applyBorder="1"/>
    <xf numFmtId="0" fontId="23" fillId="3" borderId="0" xfId="0" applyFont="1" applyFill="1"/>
    <xf numFmtId="43" fontId="54" fillId="3" borderId="0" xfId="1" applyNumberFormat="1" applyFont="1" applyFill="1"/>
    <xf numFmtId="0" fontId="54" fillId="3" borderId="0" xfId="0" applyFont="1" applyFill="1" applyAlignment="1">
      <alignment horizontal="left"/>
    </xf>
    <xf numFmtId="0" fontId="57" fillId="3" borderId="0" xfId="0" applyFont="1" applyFill="1" applyAlignment="1">
      <alignment horizontal="left"/>
    </xf>
    <xf numFmtId="0" fontId="23" fillId="3" borderId="0" xfId="0" applyFont="1" applyFill="1" applyAlignment="1">
      <alignment horizontal="left"/>
    </xf>
    <xf numFmtId="172" fontId="54" fillId="3" borderId="0" xfId="0" applyNumberFormat="1" applyFont="1" applyFill="1"/>
    <xf numFmtId="42" fontId="54" fillId="3" borderId="0" xfId="0" applyNumberFormat="1" applyFont="1" applyFill="1"/>
    <xf numFmtId="4" fontId="26" fillId="3" borderId="0" xfId="0" applyNumberFormat="1" applyFont="1" applyFill="1" applyBorder="1"/>
    <xf numFmtId="3" fontId="15" fillId="3" borderId="0" xfId="0" applyNumberFormat="1" applyFont="1" applyFill="1"/>
    <xf numFmtId="38" fontId="23" fillId="18" borderId="2" xfId="0" applyNumberFormat="1" applyFont="1" applyFill="1" applyBorder="1" applyAlignment="1">
      <alignment wrapText="1"/>
    </xf>
    <xf numFmtId="38" fontId="23" fillId="18" borderId="55" xfId="0" applyNumberFormat="1" applyFont="1" applyFill="1" applyBorder="1" applyAlignment="1">
      <alignment wrapText="1"/>
    </xf>
    <xf numFmtId="0" fontId="23" fillId="18" borderId="3" xfId="0" applyFont="1" applyFill="1" applyBorder="1" applyAlignment="1">
      <alignment wrapText="1"/>
    </xf>
    <xf numFmtId="41" fontId="58" fillId="18" borderId="46" xfId="0" applyNumberFormat="1" applyFont="1" applyFill="1" applyBorder="1"/>
    <xf numFmtId="41" fontId="58" fillId="18" borderId="67" xfId="0" applyNumberFormat="1" applyFont="1" applyFill="1" applyBorder="1"/>
    <xf numFmtId="41" fontId="58" fillId="18" borderId="6" xfId="2" applyNumberFormat="1" applyFont="1" applyFill="1" applyBorder="1"/>
    <xf numFmtId="41" fontId="58" fillId="18" borderId="46" xfId="2" applyNumberFormat="1" applyFont="1" applyFill="1" applyBorder="1"/>
    <xf numFmtId="41" fontId="58" fillId="18" borderId="67" xfId="2" applyNumberFormat="1" applyFont="1" applyFill="1" applyBorder="1"/>
    <xf numFmtId="41" fontId="58" fillId="18" borderId="5" xfId="0" applyNumberFormat="1" applyFont="1" applyFill="1" applyBorder="1"/>
    <xf numFmtId="41" fontId="58" fillId="18" borderId="41" xfId="2" applyNumberFormat="1" applyFont="1" applyFill="1" applyBorder="1"/>
    <xf numFmtId="41" fontId="58" fillId="18" borderId="0" xfId="0" applyNumberFormat="1" applyFont="1" applyFill="1" applyBorder="1"/>
    <xf numFmtId="41" fontId="58" fillId="18" borderId="19" xfId="2" applyNumberFormat="1" applyFont="1" applyFill="1" applyBorder="1"/>
    <xf numFmtId="41" fontId="58" fillId="18" borderId="5" xfId="2" applyNumberFormat="1" applyFont="1" applyFill="1" applyBorder="1"/>
    <xf numFmtId="41" fontId="58" fillId="18" borderId="32" xfId="2" applyNumberFormat="1" applyFont="1" applyFill="1" applyBorder="1"/>
    <xf numFmtId="41" fontId="59" fillId="18" borderId="46" xfId="0" applyNumberFormat="1" applyFont="1" applyFill="1" applyBorder="1"/>
    <xf numFmtId="41" fontId="58" fillId="18" borderId="6" xfId="2" applyNumberFormat="1" applyFont="1" applyFill="1" applyBorder="1" applyAlignment="1">
      <alignment horizontal="center" wrapText="1"/>
    </xf>
    <xf numFmtId="41" fontId="58" fillId="18" borderId="46" xfId="1" applyNumberFormat="1" applyFont="1" applyFill="1" applyBorder="1"/>
    <xf numFmtId="41" fontId="58" fillId="18" borderId="5" xfId="1" applyNumberFormat="1" applyFont="1" applyFill="1" applyBorder="1"/>
    <xf numFmtId="41" fontId="58" fillId="18" borderId="45" xfId="2" applyNumberFormat="1" applyFont="1" applyFill="1" applyBorder="1"/>
    <xf numFmtId="41" fontId="58" fillId="18" borderId="17" xfId="0" applyNumberFormat="1" applyFont="1" applyFill="1" applyBorder="1"/>
    <xf numFmtId="41" fontId="58" fillId="18" borderId="41" xfId="0" applyNumberFormat="1" applyFont="1" applyFill="1" applyBorder="1"/>
    <xf numFmtId="41" fontId="58" fillId="18" borderId="19" xfId="0" applyNumberFormat="1" applyFont="1" applyFill="1" applyBorder="1" applyAlignment="1">
      <alignment wrapText="1"/>
    </xf>
    <xf numFmtId="41" fontId="58" fillId="18" borderId="47" xfId="0" applyNumberFormat="1" applyFont="1" applyFill="1" applyBorder="1" applyAlignment="1">
      <alignment wrapText="1"/>
    </xf>
    <xf numFmtId="0" fontId="58" fillId="25" borderId="112" xfId="0" applyFont="1" applyFill="1" applyBorder="1"/>
    <xf numFmtId="0" fontId="58" fillId="25" borderId="113" xfId="0" applyFont="1" applyFill="1" applyBorder="1" applyAlignment="1">
      <alignment wrapText="1"/>
    </xf>
    <xf numFmtId="41" fontId="58" fillId="25" borderId="114" xfId="0" applyNumberFormat="1" applyFont="1" applyFill="1" applyBorder="1"/>
    <xf numFmtId="41" fontId="58" fillId="25" borderId="118" xfId="0" applyNumberFormat="1" applyFont="1" applyFill="1" applyBorder="1"/>
    <xf numFmtId="41" fontId="58" fillId="25" borderId="117" xfId="0" applyNumberFormat="1" applyFont="1" applyFill="1" applyBorder="1" applyAlignment="1">
      <alignment wrapText="1"/>
    </xf>
    <xf numFmtId="0" fontId="58" fillId="25" borderId="113" xfId="0" applyFont="1" applyFill="1" applyBorder="1"/>
    <xf numFmtId="41" fontId="58" fillId="25" borderId="114" xfId="1" applyNumberFormat="1" applyFont="1" applyFill="1" applyBorder="1"/>
    <xf numFmtId="41" fontId="58" fillId="25" borderId="115" xfId="1" applyNumberFormat="1" applyFont="1" applyFill="1" applyBorder="1"/>
    <xf numFmtId="41" fontId="58" fillId="25" borderId="116" xfId="2" applyNumberFormat="1" applyFont="1" applyFill="1" applyBorder="1"/>
    <xf numFmtId="41" fontId="58" fillId="25" borderId="114" xfId="2" applyNumberFormat="1" applyFont="1" applyFill="1" applyBorder="1"/>
    <xf numFmtId="0" fontId="58" fillId="25" borderId="112" xfId="0" applyFont="1" applyFill="1" applyBorder="1" applyAlignment="1">
      <alignment wrapText="1"/>
    </xf>
    <xf numFmtId="41" fontId="58" fillId="25" borderId="114" xfId="1" applyNumberFormat="1" applyFont="1" applyFill="1" applyBorder="1" applyAlignment="1">
      <alignment wrapText="1"/>
    </xf>
    <xf numFmtId="41" fontId="58" fillId="25" borderId="115" xfId="0" applyNumberFormat="1" applyFont="1" applyFill="1" applyBorder="1" applyAlignment="1">
      <alignment wrapText="1"/>
    </xf>
    <xf numFmtId="41" fontId="58" fillId="25" borderId="115" xfId="2" applyNumberFormat="1" applyFont="1" applyFill="1" applyBorder="1" applyAlignment="1">
      <alignment wrapText="1"/>
    </xf>
    <xf numFmtId="41" fontId="58" fillId="25" borderId="117" xfId="2" applyNumberFormat="1" applyFont="1" applyFill="1" applyBorder="1" applyAlignment="1">
      <alignment wrapText="1"/>
    </xf>
    <xf numFmtId="41" fontId="58" fillId="3" borderId="0" xfId="2" applyNumberFormat="1" applyFont="1" applyFill="1" applyBorder="1"/>
    <xf numFmtId="4" fontId="24" fillId="3" borderId="0" xfId="0" applyNumberFormat="1" applyFont="1" applyFill="1" applyBorder="1"/>
    <xf numFmtId="41" fontId="58" fillId="18" borderId="8" xfId="1" applyNumberFormat="1" applyFont="1" applyFill="1" applyBorder="1"/>
    <xf numFmtId="41" fontId="58" fillId="18" borderId="122" xfId="1" applyNumberFormat="1" applyFont="1" applyFill="1" applyBorder="1"/>
    <xf numFmtId="41" fontId="58" fillId="18" borderId="9" xfId="2" applyNumberFormat="1" applyFont="1" applyFill="1" applyBorder="1"/>
    <xf numFmtId="0" fontId="65" fillId="3" borderId="125" xfId="0" applyFont="1" applyFill="1" applyBorder="1"/>
    <xf numFmtId="41" fontId="65" fillId="3" borderId="125" xfId="1" applyNumberFormat="1" applyFont="1" applyFill="1" applyBorder="1"/>
    <xf numFmtId="41" fontId="65" fillId="3" borderId="125" xfId="2" applyNumberFormat="1" applyFont="1" applyFill="1" applyBorder="1"/>
    <xf numFmtId="41" fontId="65" fillId="3" borderId="0" xfId="2" applyNumberFormat="1" applyFont="1" applyFill="1" applyBorder="1"/>
    <xf numFmtId="0" fontId="8" fillId="2" borderId="0" xfId="0" applyFont="1" applyFill="1"/>
    <xf numFmtId="0" fontId="8" fillId="2" borderId="0" xfId="0" applyFont="1" applyFill="1" applyAlignment="1">
      <alignment horizontal="center"/>
    </xf>
    <xf numFmtId="0" fontId="0" fillId="0" borderId="36" xfId="0" applyBorder="1"/>
    <xf numFmtId="0" fontId="16" fillId="3" borderId="0" xfId="0" applyFont="1" applyFill="1"/>
    <xf numFmtId="0" fontId="0" fillId="0" borderId="123" xfId="0" applyBorder="1"/>
    <xf numFmtId="0" fontId="5" fillId="2" borderId="112" xfId="0" applyFont="1" applyFill="1" applyBorder="1"/>
    <xf numFmtId="44" fontId="0" fillId="2" borderId="115" xfId="2" applyFont="1" applyFill="1" applyBorder="1"/>
    <xf numFmtId="44" fontId="5" fillId="2" borderId="13" xfId="0" applyNumberFormat="1" applyFont="1" applyFill="1" applyBorder="1"/>
    <xf numFmtId="0" fontId="68" fillId="0" borderId="0" xfId="7" applyFont="1"/>
    <xf numFmtId="175" fontId="68" fillId="0" borderId="0" xfId="7" applyNumberFormat="1" applyFont="1"/>
    <xf numFmtId="0" fontId="68" fillId="26" borderId="0" xfId="7" applyFont="1" applyFill="1"/>
    <xf numFmtId="7" fontId="68" fillId="26" borderId="0" xfId="7" applyNumberFormat="1" applyFont="1" applyFill="1"/>
    <xf numFmtId="7" fontId="68" fillId="26" borderId="14" xfId="7" applyNumberFormat="1" applyFont="1" applyFill="1" applyBorder="1"/>
    <xf numFmtId="44" fontId="68" fillId="26" borderId="0" xfId="7" applyNumberFormat="1" applyFont="1" applyFill="1"/>
    <xf numFmtId="7" fontId="68" fillId="0" borderId="12" xfId="7" applyNumberFormat="1" applyFont="1" applyBorder="1"/>
    <xf numFmtId="0" fontId="68" fillId="27" borderId="65" xfId="7" applyFont="1" applyFill="1" applyBorder="1"/>
    <xf numFmtId="7" fontId="68" fillId="0" borderId="19" xfId="7" applyNumberFormat="1" applyFont="1" applyBorder="1"/>
    <xf numFmtId="44" fontId="68" fillId="28" borderId="19" xfId="6" applyFont="1" applyFill="1" applyBorder="1"/>
    <xf numFmtId="7" fontId="68" fillId="29" borderId="19" xfId="7" applyNumberFormat="1" applyFont="1" applyFill="1" applyBorder="1" applyProtection="1">
      <protection locked="0"/>
    </xf>
    <xf numFmtId="175" fontId="68" fillId="29" borderId="19" xfId="7" applyNumberFormat="1" applyFont="1" applyFill="1" applyBorder="1" applyProtection="1">
      <protection locked="0"/>
    </xf>
    <xf numFmtId="14" fontId="68" fillId="0" borderId="43" xfId="7" applyNumberFormat="1" applyFont="1" applyBorder="1"/>
    <xf numFmtId="7" fontId="68" fillId="17" borderId="19" xfId="7" applyNumberFormat="1" applyFont="1" applyFill="1" applyBorder="1" applyProtection="1">
      <protection locked="0"/>
    </xf>
    <xf numFmtId="14" fontId="68" fillId="27" borderId="43" xfId="7" applyNumberFormat="1" applyFont="1" applyFill="1" applyBorder="1"/>
    <xf numFmtId="0" fontId="68" fillId="27" borderId="43" xfId="7" applyFont="1" applyFill="1" applyBorder="1"/>
    <xf numFmtId="0" fontId="68" fillId="27" borderId="19" xfId="7" applyFont="1" applyFill="1" applyBorder="1" applyAlignment="1">
      <alignment horizontal="center"/>
    </xf>
    <xf numFmtId="0" fontId="69" fillId="27" borderId="19" xfId="7" applyFont="1" applyFill="1" applyBorder="1" applyAlignment="1">
      <alignment horizontal="center"/>
    </xf>
    <xf numFmtId="44" fontId="68" fillId="27" borderId="19" xfId="6" applyFont="1" applyFill="1" applyBorder="1" applyAlignment="1">
      <alignment horizontal="center"/>
    </xf>
    <xf numFmtId="175" fontId="68" fillId="27" borderId="19" xfId="7" applyNumberFormat="1" applyFont="1" applyFill="1" applyBorder="1" applyAlignment="1">
      <alignment horizontal="center"/>
    </xf>
    <xf numFmtId="0" fontId="68" fillId="27" borderId="43" xfId="7" applyFont="1" applyFill="1" applyBorder="1" applyAlignment="1">
      <alignment horizontal="center"/>
    </xf>
    <xf numFmtId="0" fontId="68" fillId="27" borderId="12" xfId="7" applyFont="1" applyFill="1" applyBorder="1"/>
    <xf numFmtId="0" fontId="68" fillId="0" borderId="35" xfId="7" applyFont="1" applyBorder="1" applyAlignment="1">
      <alignment horizontal="center"/>
    </xf>
    <xf numFmtId="0" fontId="68" fillId="27" borderId="15" xfId="7" applyFont="1" applyFill="1" applyBorder="1" applyAlignment="1">
      <alignment horizontal="center"/>
    </xf>
    <xf numFmtId="0" fontId="68" fillId="27" borderId="15" xfId="7" applyFont="1" applyFill="1" applyBorder="1"/>
    <xf numFmtId="44" fontId="68" fillId="27" borderId="15" xfId="6" applyFont="1" applyFill="1" applyBorder="1"/>
    <xf numFmtId="175" fontId="68" fillId="27" borderId="15" xfId="7" applyNumberFormat="1" applyFont="1" applyFill="1" applyBorder="1"/>
    <xf numFmtId="0" fontId="68" fillId="27" borderId="0" xfId="7" applyFont="1" applyFill="1"/>
    <xf numFmtId="175" fontId="68" fillId="27" borderId="0" xfId="7" applyNumberFormat="1" applyFont="1" applyFill="1"/>
    <xf numFmtId="0" fontId="68" fillId="27" borderId="35" xfId="7" applyFont="1" applyFill="1" applyBorder="1"/>
    <xf numFmtId="0" fontId="68" fillId="0" borderId="35" xfId="7" applyFont="1" applyBorder="1"/>
    <xf numFmtId="7" fontId="70" fillId="27" borderId="76" xfId="7" applyNumberFormat="1" applyFont="1" applyFill="1" applyBorder="1"/>
    <xf numFmtId="0" fontId="71" fillId="27" borderId="86" xfId="7" applyFont="1" applyFill="1" applyBorder="1" applyAlignment="1">
      <alignment horizontal="right"/>
    </xf>
    <xf numFmtId="0" fontId="68" fillId="0" borderId="86" xfId="7" applyFont="1" applyBorder="1" applyAlignment="1">
      <alignment horizontal="center"/>
    </xf>
    <xf numFmtId="0" fontId="68" fillId="27" borderId="86" xfId="7" applyFont="1" applyFill="1" applyBorder="1"/>
    <xf numFmtId="0" fontId="68" fillId="27" borderId="75" xfId="7" applyFont="1" applyFill="1" applyBorder="1"/>
    <xf numFmtId="7" fontId="70" fillId="27" borderId="86" xfId="7" applyNumberFormat="1" applyFont="1" applyFill="1" applyBorder="1" applyAlignment="1">
      <alignment horizontal="right"/>
    </xf>
    <xf numFmtId="175" fontId="72" fillId="27" borderId="86" xfId="7" applyNumberFormat="1" applyFont="1" applyFill="1" applyBorder="1"/>
    <xf numFmtId="0" fontId="71" fillId="27" borderId="74" xfId="7" applyFont="1" applyFill="1" applyBorder="1"/>
    <xf numFmtId="0" fontId="68" fillId="26" borderId="0" xfId="7" applyFont="1" applyFill="1" applyAlignment="1">
      <alignment horizontal="centerContinuous"/>
    </xf>
    <xf numFmtId="7" fontId="70" fillId="27" borderId="126" xfId="6" applyNumberFormat="1" applyFont="1" applyFill="1" applyBorder="1"/>
    <xf numFmtId="0" fontId="73" fillId="26" borderId="127" xfId="7" quotePrefix="1" applyFont="1" applyFill="1" applyBorder="1" applyAlignment="1">
      <alignment horizontal="left"/>
    </xf>
    <xf numFmtId="0" fontId="68" fillId="0" borderId="5" xfId="7" applyFont="1" applyBorder="1" applyAlignment="1">
      <alignment horizontal="center"/>
    </xf>
    <xf numFmtId="0" fontId="68" fillId="27" borderId="128" xfId="7" applyFont="1" applyFill="1" applyBorder="1" applyAlignment="1">
      <alignment horizontal="right"/>
    </xf>
    <xf numFmtId="0" fontId="68" fillId="27" borderId="128" xfId="7" applyFont="1" applyFill="1" applyBorder="1" applyAlignment="1">
      <alignment horizontal="centerContinuous"/>
    </xf>
    <xf numFmtId="14" fontId="68" fillId="29" borderId="129" xfId="7" applyNumberFormat="1" applyFont="1" applyFill="1" applyBorder="1" applyAlignment="1" applyProtection="1">
      <alignment horizontal="right"/>
      <protection locked="0"/>
    </xf>
    <xf numFmtId="175" fontId="68" fillId="27" borderId="129" xfId="7" applyNumberFormat="1" applyFont="1" applyFill="1" applyBorder="1"/>
    <xf numFmtId="0" fontId="68" fillId="27" borderId="130" xfId="7" applyFont="1" applyFill="1" applyBorder="1"/>
    <xf numFmtId="0" fontId="68" fillId="27" borderId="126" xfId="7" applyFont="1" applyFill="1" applyBorder="1"/>
    <xf numFmtId="7" fontId="68" fillId="27" borderId="129" xfId="7" applyNumberFormat="1" applyFont="1" applyFill="1" applyBorder="1" applyAlignment="1">
      <alignment horizontal="right"/>
    </xf>
    <xf numFmtId="6" fontId="68" fillId="0" borderId="5" xfId="7" applyNumberFormat="1" applyFont="1" applyBorder="1" applyAlignment="1" applyProtection="1">
      <alignment horizontal="center"/>
      <protection locked="0"/>
    </xf>
    <xf numFmtId="7" fontId="68" fillId="27" borderId="131" xfId="7" applyNumberFormat="1" applyFont="1" applyFill="1" applyBorder="1"/>
    <xf numFmtId="7" fontId="68" fillId="27" borderId="132" xfId="7" quotePrefix="1" applyNumberFormat="1" applyFont="1" applyFill="1" applyBorder="1" applyAlignment="1">
      <alignment horizontal="right"/>
    </xf>
    <xf numFmtId="8" fontId="68" fillId="29" borderId="5" xfId="7" applyNumberFormat="1" applyFont="1" applyFill="1" applyBorder="1" applyProtection="1">
      <protection locked="0"/>
    </xf>
    <xf numFmtId="14" fontId="68" fillId="29" borderId="132" xfId="7" applyNumberFormat="1" applyFont="1" applyFill="1" applyBorder="1" applyAlignment="1" applyProtection="1">
      <alignment horizontal="right"/>
      <protection locked="0"/>
    </xf>
    <xf numFmtId="175" fontId="68" fillId="27" borderId="132" xfId="7" applyNumberFormat="1" applyFont="1" applyFill="1" applyBorder="1"/>
    <xf numFmtId="0" fontId="68" fillId="27" borderId="133" xfId="7" applyFont="1" applyFill="1" applyBorder="1"/>
    <xf numFmtId="0" fontId="68" fillId="27" borderId="79" xfId="7" applyFont="1" applyFill="1" applyBorder="1"/>
    <xf numFmtId="0" fontId="68" fillId="27" borderId="134" xfId="7" applyFont="1" applyFill="1" applyBorder="1"/>
    <xf numFmtId="0" fontId="68" fillId="27" borderId="78" xfId="7" applyFont="1" applyFill="1" applyBorder="1"/>
    <xf numFmtId="175" fontId="68" fillId="27" borderId="134" xfId="7" applyNumberFormat="1" applyFont="1" applyFill="1" applyBorder="1"/>
    <xf numFmtId="0" fontId="68" fillId="27" borderId="77" xfId="7" applyFont="1" applyFill="1" applyBorder="1"/>
    <xf numFmtId="0" fontId="71" fillId="27" borderId="0" xfId="7" applyFont="1" applyFill="1" applyAlignment="1">
      <alignment horizontal="center"/>
    </xf>
    <xf numFmtId="0" fontId="71" fillId="27" borderId="0" xfId="7" applyFont="1" applyFill="1" applyAlignment="1">
      <alignment horizontal="left"/>
    </xf>
    <xf numFmtId="0" fontId="71" fillId="27" borderId="0" xfId="7" applyFont="1" applyFill="1"/>
    <xf numFmtId="0" fontId="74" fillId="27" borderId="0" xfId="7" applyFont="1" applyFill="1" applyAlignment="1">
      <alignment horizontal="left"/>
    </xf>
    <xf numFmtId="14" fontId="68" fillId="0" borderId="0" xfId="7" applyNumberFormat="1" applyFont="1"/>
    <xf numFmtId="0" fontId="71" fillId="29" borderId="78" xfId="7" applyFont="1" applyFill="1" applyBorder="1" applyAlignment="1">
      <alignment horizontal="centerContinuous"/>
    </xf>
    <xf numFmtId="14" fontId="71" fillId="27" borderId="78" xfId="7" applyNumberFormat="1" applyFont="1" applyFill="1" applyBorder="1" applyAlignment="1">
      <alignment horizontal="centerContinuous"/>
    </xf>
    <xf numFmtId="0" fontId="68" fillId="27" borderId="0" xfId="7" applyFont="1" applyFill="1" applyAlignment="1">
      <alignment horizontal="centerContinuous"/>
    </xf>
    <xf numFmtId="0" fontId="74" fillId="27" borderId="78" xfId="7" applyFont="1" applyFill="1" applyBorder="1" applyAlignment="1">
      <alignment horizontal="center"/>
    </xf>
    <xf numFmtId="175" fontId="68" fillId="27" borderId="78" xfId="7" applyNumberFormat="1" applyFont="1" applyFill="1" applyBorder="1" applyAlignment="1">
      <alignment horizontal="centerContinuous"/>
    </xf>
    <xf numFmtId="44" fontId="68" fillId="28" borderId="19" xfId="6" applyFont="1" applyFill="1" applyBorder="1" applyProtection="1"/>
    <xf numFmtId="7" fontId="68" fillId="29" borderId="19" xfId="7" applyNumberFormat="1" applyFont="1" applyFill="1" applyBorder="1"/>
    <xf numFmtId="175" fontId="68" fillId="29" borderId="19" xfId="7" applyNumberFormat="1" applyFont="1" applyFill="1" applyBorder="1"/>
    <xf numFmtId="44" fontId="68" fillId="27" borderId="19" xfId="6" applyFont="1" applyFill="1" applyBorder="1" applyAlignment="1" applyProtection="1">
      <alignment horizontal="center"/>
    </xf>
    <xf numFmtId="44" fontId="68" fillId="27" borderId="15" xfId="6" applyFont="1" applyFill="1" applyBorder="1" applyProtection="1"/>
    <xf numFmtId="8" fontId="70" fillId="0" borderId="65" xfId="7" applyNumberFormat="1" applyFont="1" applyBorder="1"/>
    <xf numFmtId="14" fontId="68" fillId="29" borderId="129" xfId="7" applyNumberFormat="1" applyFont="1" applyFill="1" applyBorder="1" applyAlignment="1">
      <alignment horizontal="right"/>
    </xf>
    <xf numFmtId="6" fontId="68" fillId="0" borderId="5" xfId="7" applyNumberFormat="1" applyFont="1" applyBorder="1" applyAlignment="1">
      <alignment horizontal="center"/>
    </xf>
    <xf numFmtId="44" fontId="68" fillId="29" borderId="5" xfId="7" applyNumberFormat="1" applyFont="1" applyFill="1" applyBorder="1" applyAlignment="1">
      <alignment horizontal="center"/>
    </xf>
    <xf numFmtId="14" fontId="68" fillId="29" borderId="0" xfId="7" applyNumberFormat="1" applyFont="1" applyFill="1"/>
    <xf numFmtId="14" fontId="68" fillId="26" borderId="0" xfId="7" applyNumberFormat="1" applyFont="1" applyFill="1"/>
    <xf numFmtId="0" fontId="75" fillId="27" borderId="0" xfId="7" applyFont="1" applyFill="1"/>
    <xf numFmtId="0" fontId="74" fillId="27" borderId="0" xfId="7" applyFont="1" applyFill="1" applyAlignment="1">
      <alignment horizontal="center"/>
    </xf>
    <xf numFmtId="4" fontId="58" fillId="3" borderId="0" xfId="2" applyNumberFormat="1" applyFont="1" applyFill="1" applyBorder="1"/>
    <xf numFmtId="4" fontId="18" fillId="0" borderId="0" xfId="0" applyNumberFormat="1" applyFont="1"/>
    <xf numFmtId="41" fontId="18" fillId="0" borderId="0" xfId="0" applyNumberFormat="1" applyFont="1"/>
    <xf numFmtId="0" fontId="36" fillId="20" borderId="4" xfId="0" applyFont="1" applyFill="1" applyBorder="1"/>
    <xf numFmtId="0" fontId="58" fillId="20" borderId="6" xfId="0" applyFont="1" applyFill="1" applyBorder="1"/>
    <xf numFmtId="42" fontId="58" fillId="20" borderId="48" xfId="2" applyNumberFormat="1" applyFont="1" applyFill="1" applyBorder="1"/>
    <xf numFmtId="0" fontId="36" fillId="20" borderId="4" xfId="0" applyFont="1" applyFill="1" applyBorder="1" applyAlignment="1">
      <alignment horizontal="right"/>
    </xf>
    <xf numFmtId="0" fontId="41" fillId="20" borderId="4" xfId="0" applyFont="1" applyFill="1" applyBorder="1"/>
    <xf numFmtId="0" fontId="59" fillId="20" borderId="6" xfId="0" applyFont="1" applyFill="1" applyBorder="1"/>
    <xf numFmtId="41" fontId="76" fillId="20" borderId="41" xfId="2" applyNumberFormat="1" applyFont="1" applyFill="1" applyBorder="1"/>
    <xf numFmtId="0" fontId="49" fillId="20" borderId="32" xfId="0" applyFont="1" applyFill="1" applyBorder="1"/>
    <xf numFmtId="10" fontId="36" fillId="20" borderId="48" xfId="3" applyNumberFormat="1" applyFont="1" applyFill="1" applyBorder="1"/>
    <xf numFmtId="0" fontId="58" fillId="20" borderId="4" xfId="0" applyFont="1" applyFill="1" applyBorder="1"/>
    <xf numFmtId="0" fontId="60" fillId="20" borderId="32" xfId="0" applyFont="1" applyFill="1" applyBorder="1"/>
    <xf numFmtId="174" fontId="58" fillId="20" borderId="48" xfId="2" applyNumberFormat="1" applyFont="1" applyFill="1" applyBorder="1"/>
    <xf numFmtId="0" fontId="58" fillId="20" borderId="32" xfId="0" applyFont="1" applyFill="1" applyBorder="1"/>
    <xf numFmtId="41" fontId="58" fillId="20" borderId="48" xfId="2" applyNumberFormat="1" applyFont="1" applyFill="1" applyBorder="1"/>
    <xf numFmtId="0" fontId="58" fillId="20" borderId="32" xfId="0" applyFont="1" applyFill="1" applyBorder="1" applyAlignment="1">
      <alignment wrapText="1"/>
    </xf>
    <xf numFmtId="165" fontId="58" fillId="20" borderId="4" xfId="0" applyNumberFormat="1" applyFont="1" applyFill="1" applyBorder="1"/>
    <xf numFmtId="38" fontId="58" fillId="20" borderId="32" xfId="0" applyNumberFormat="1" applyFont="1" applyFill="1" applyBorder="1"/>
    <xf numFmtId="0" fontId="58" fillId="20" borderId="38" xfId="0" applyFont="1" applyFill="1" applyBorder="1"/>
    <xf numFmtId="0" fontId="58" fillId="20" borderId="18" xfId="0" applyFont="1" applyFill="1" applyBorder="1"/>
    <xf numFmtId="0" fontId="59" fillId="20" borderId="32" xfId="0" applyFont="1" applyFill="1" applyBorder="1"/>
    <xf numFmtId="41" fontId="62" fillId="20" borderId="48" xfId="2" applyNumberFormat="1" applyFont="1" applyFill="1" applyBorder="1"/>
    <xf numFmtId="0" fontId="61" fillId="20" borderId="32" xfId="0" applyFont="1" applyFill="1" applyBorder="1"/>
    <xf numFmtId="0" fontId="58" fillId="20" borderId="4" xfId="0" applyFont="1" applyFill="1" applyBorder="1" applyAlignment="1">
      <alignment horizontal="left"/>
    </xf>
    <xf numFmtId="41" fontId="63" fillId="20" borderId="48" xfId="2" applyNumberFormat="1" applyFont="1" applyFill="1" applyBorder="1"/>
    <xf numFmtId="0" fontId="59" fillId="20" borderId="32" xfId="0" applyFont="1" applyFill="1" applyBorder="1" applyAlignment="1">
      <alignment wrapText="1"/>
    </xf>
    <xf numFmtId="41" fontId="64" fillId="20" borderId="48" xfId="2" applyNumberFormat="1" applyFont="1" applyFill="1" applyBorder="1"/>
    <xf numFmtId="0" fontId="58" fillId="20" borderId="5" xfId="0" applyFont="1" applyFill="1" applyBorder="1"/>
    <xf numFmtId="0" fontId="51" fillId="20" borderId="32" xfId="0" applyFont="1" applyFill="1" applyBorder="1"/>
    <xf numFmtId="0" fontId="58" fillId="20" borderId="44" xfId="0" applyFont="1" applyFill="1" applyBorder="1"/>
    <xf numFmtId="0" fontId="36" fillId="20" borderId="32" xfId="0" applyFont="1" applyFill="1" applyBorder="1"/>
    <xf numFmtId="41" fontId="58" fillId="20" borderId="4" xfId="0" applyNumberFormat="1" applyFont="1" applyFill="1" applyBorder="1"/>
    <xf numFmtId="41" fontId="58" fillId="20" borderId="124" xfId="0" applyNumberFormat="1" applyFont="1" applyFill="1" applyBorder="1" applyAlignment="1">
      <alignment wrapText="1"/>
    </xf>
    <xf numFmtId="41" fontId="58" fillId="20" borderId="49" xfId="2" applyNumberFormat="1" applyFont="1" applyFill="1" applyBorder="1"/>
    <xf numFmtId="0" fontId="58" fillId="20" borderId="7" xfId="0" applyFont="1" applyFill="1" applyBorder="1"/>
    <xf numFmtId="0" fontId="58" fillId="20" borderId="42" xfId="0" applyFont="1" applyFill="1" applyBorder="1"/>
    <xf numFmtId="49" fontId="36" fillId="20" borderId="38" xfId="0" applyNumberFormat="1" applyFont="1" applyFill="1" applyBorder="1"/>
    <xf numFmtId="49" fontId="50" fillId="20" borderId="18" xfId="0" applyNumberFormat="1" applyFont="1" applyFill="1" applyBorder="1"/>
    <xf numFmtId="3" fontId="36" fillId="20" borderId="124" xfId="0" applyNumberFormat="1" applyFont="1" applyFill="1" applyBorder="1"/>
    <xf numFmtId="49" fontId="23" fillId="20" borderId="112" xfId="0" applyNumberFormat="1" applyFont="1" applyFill="1" applyBorder="1"/>
    <xf numFmtId="0" fontId="23" fillId="20" borderId="113" xfId="0" applyFont="1" applyFill="1" applyBorder="1"/>
    <xf numFmtId="0" fontId="23" fillId="20" borderId="117" xfId="0" applyFont="1" applyFill="1" applyBorder="1" applyAlignment="1">
      <alignment wrapText="1"/>
    </xf>
    <xf numFmtId="0" fontId="23" fillId="30" borderId="115" xfId="0" applyFont="1" applyFill="1" applyBorder="1" applyAlignment="1">
      <alignment wrapText="1"/>
    </xf>
    <xf numFmtId="3" fontId="36" fillId="30" borderId="121" xfId="0" applyNumberFormat="1" applyFont="1" applyFill="1" applyBorder="1"/>
    <xf numFmtId="41" fontId="76" fillId="30" borderId="41" xfId="2" applyNumberFormat="1" applyFont="1" applyFill="1" applyBorder="1"/>
    <xf numFmtId="10" fontId="36" fillId="30" borderId="48" xfId="3" applyNumberFormat="1" applyFont="1" applyFill="1" applyBorder="1"/>
    <xf numFmtId="174" fontId="58" fillId="30" borderId="48" xfId="2" applyNumberFormat="1" applyFont="1" applyFill="1" applyBorder="1"/>
    <xf numFmtId="41" fontId="58" fillId="30" borderId="41" xfId="2" applyNumberFormat="1" applyFont="1" applyFill="1" applyBorder="1"/>
    <xf numFmtId="41" fontId="62" fillId="30" borderId="41" xfId="2" applyNumberFormat="1" applyFont="1" applyFill="1" applyBorder="1"/>
    <xf numFmtId="41" fontId="63" fillId="30" borderId="41" xfId="2" applyNumberFormat="1" applyFont="1" applyFill="1" applyBorder="1"/>
    <xf numFmtId="41" fontId="64" fillId="30" borderId="41" xfId="2" applyNumberFormat="1" applyFont="1" applyFill="1" applyBorder="1"/>
    <xf numFmtId="41" fontId="58" fillId="30" borderId="121" xfId="0" applyNumberFormat="1" applyFont="1" applyFill="1" applyBorder="1" applyAlignment="1">
      <alignment wrapText="1"/>
    </xf>
    <xf numFmtId="41" fontId="58" fillId="30" borderId="45" xfId="2" applyNumberFormat="1" applyFont="1" applyFill="1" applyBorder="1"/>
    <xf numFmtId="0" fontId="58" fillId="30" borderId="112" xfId="0" applyFont="1" applyFill="1" applyBorder="1"/>
    <xf numFmtId="0" fontId="58" fillId="30" borderId="113" xfId="0" applyFont="1" applyFill="1" applyBorder="1" applyAlignment="1">
      <alignment wrapText="1"/>
    </xf>
    <xf numFmtId="41" fontId="58" fillId="30" borderId="117" xfId="0" applyNumberFormat="1" applyFont="1" applyFill="1" applyBorder="1" applyAlignment="1">
      <alignment wrapText="1"/>
    </xf>
    <xf numFmtId="0" fontId="58" fillId="30" borderId="113" xfId="0" applyFont="1" applyFill="1" applyBorder="1"/>
    <xf numFmtId="41" fontId="58" fillId="30" borderId="116" xfId="2" applyNumberFormat="1" applyFont="1" applyFill="1" applyBorder="1"/>
    <xf numFmtId="0" fontId="18" fillId="30" borderId="0" xfId="0" applyFont="1" applyFill="1"/>
    <xf numFmtId="41" fontId="67" fillId="30" borderId="114" xfId="2" applyNumberFormat="1" applyFont="1" applyFill="1" applyBorder="1"/>
    <xf numFmtId="41" fontId="77" fillId="20" borderId="48" xfId="2" applyNumberFormat="1" applyFont="1" applyFill="1" applyBorder="1"/>
    <xf numFmtId="41" fontId="77" fillId="30" borderId="41" xfId="2" applyNumberFormat="1" applyFont="1" applyFill="1" applyBorder="1"/>
    <xf numFmtId="0" fontId="8" fillId="2" borderId="0" xfId="0" applyFont="1" applyFill="1" applyAlignment="1">
      <alignment vertical="center"/>
    </xf>
    <xf numFmtId="0" fontId="8" fillId="2" borderId="23" xfId="0" applyFont="1" applyFill="1" applyBorder="1" applyAlignment="1">
      <alignment vertical="center"/>
    </xf>
    <xf numFmtId="44" fontId="5" fillId="2" borderId="135" xfId="0" applyNumberFormat="1" applyFont="1" applyFill="1" applyBorder="1"/>
    <xf numFmtId="44" fontId="5" fillId="2" borderId="136" xfId="0" applyNumberFormat="1" applyFont="1" applyFill="1" applyBorder="1"/>
    <xf numFmtId="44" fontId="0" fillId="0" borderId="9" xfId="0" applyNumberFormat="1" applyBorder="1"/>
    <xf numFmtId="44" fontId="0" fillId="0" borderId="8" xfId="2" applyFont="1" applyBorder="1"/>
    <xf numFmtId="44" fontId="1" fillId="0" borderId="8" xfId="2" applyFont="1" applyBorder="1"/>
    <xf numFmtId="44" fontId="0" fillId="0" borderId="8" xfId="0" applyNumberFormat="1" applyBorder="1"/>
    <xf numFmtId="0" fontId="0" fillId="0" borderId="7" xfId="0" applyBorder="1" applyAlignment="1">
      <alignment wrapText="1"/>
    </xf>
    <xf numFmtId="0" fontId="0" fillId="0" borderId="4" xfId="0" applyBorder="1" applyAlignment="1">
      <alignment wrapText="1"/>
    </xf>
    <xf numFmtId="0" fontId="0" fillId="0" borderId="1" xfId="0" applyBorder="1" applyAlignment="1">
      <alignment wrapText="1"/>
    </xf>
    <xf numFmtId="0" fontId="8" fillId="2" borderId="0" xfId="0" applyFont="1" applyFill="1" applyAlignment="1">
      <alignment wrapText="1"/>
    </xf>
    <xf numFmtId="0" fontId="8" fillId="2" borderId="39" xfId="0" applyFont="1" applyFill="1" applyBorder="1" applyAlignment="1">
      <alignment wrapText="1"/>
    </xf>
    <xf numFmtId="44" fontId="5" fillId="3" borderId="0" xfId="0" applyNumberFormat="1" applyFont="1" applyFill="1"/>
    <xf numFmtId="0" fontId="5" fillId="2" borderId="13" xfId="0" applyFont="1" applyFill="1" applyBorder="1" applyAlignment="1">
      <alignment horizontal="center"/>
    </xf>
    <xf numFmtId="0" fontId="5" fillId="2" borderId="0" xfId="0" applyFont="1" applyFill="1" applyBorder="1" applyAlignment="1">
      <alignment horizontal="center"/>
    </xf>
    <xf numFmtId="0" fontId="5" fillId="2" borderId="125" xfId="0" applyFont="1" applyFill="1" applyBorder="1" applyAlignment="1">
      <alignment horizontal="center"/>
    </xf>
    <xf numFmtId="176" fontId="0" fillId="0" borderId="0" xfId="3" applyNumberFormat="1" applyFont="1"/>
    <xf numFmtId="41" fontId="58" fillId="30" borderId="113" xfId="2" applyNumberFormat="1" applyFont="1" applyFill="1" applyBorder="1"/>
    <xf numFmtId="0" fontId="58" fillId="30" borderId="112" xfId="0" applyFont="1" applyFill="1" applyBorder="1" applyAlignment="1">
      <alignment horizontal="left" vertical="top"/>
    </xf>
    <xf numFmtId="0" fontId="58" fillId="30" borderId="112" xfId="0" applyFont="1" applyFill="1" applyBorder="1" applyAlignment="1">
      <alignment horizontal="left"/>
    </xf>
    <xf numFmtId="44" fontId="5" fillId="2" borderId="115" xfId="2" applyFont="1" applyFill="1" applyBorder="1" applyAlignment="1">
      <alignment horizontal="left"/>
    </xf>
    <xf numFmtId="0" fontId="5" fillId="2" borderId="112" xfId="0" applyFont="1" applyFill="1" applyBorder="1" applyAlignment="1">
      <alignment horizontal="left"/>
    </xf>
    <xf numFmtId="0" fontId="0" fillId="0" borderId="44" xfId="0" applyBorder="1" applyAlignment="1">
      <alignment wrapText="1"/>
    </xf>
    <xf numFmtId="44" fontId="0" fillId="0" borderId="35" xfId="0" applyNumberFormat="1" applyBorder="1"/>
    <xf numFmtId="44" fontId="1" fillId="0" borderId="35" xfId="2" applyFont="1" applyBorder="1"/>
    <xf numFmtId="44" fontId="0" fillId="0" borderId="137" xfId="0" applyNumberFormat="1" applyBorder="1"/>
    <xf numFmtId="0" fontId="0" fillId="0" borderId="0" xfId="0" applyNumberFormat="1"/>
    <xf numFmtId="10" fontId="5" fillId="2" borderId="116" xfId="0" applyNumberFormat="1" applyFont="1" applyFill="1" applyBorder="1" applyAlignment="1">
      <alignment horizontal="right"/>
    </xf>
    <xf numFmtId="175" fontId="0" fillId="0" borderId="0" xfId="3" applyNumberFormat="1" applyFont="1"/>
    <xf numFmtId="44" fontId="0" fillId="0" borderId="12" xfId="0" applyNumberFormat="1" applyBorder="1"/>
    <xf numFmtId="0" fontId="5" fillId="2" borderId="138" xfId="0" applyFont="1" applyFill="1" applyBorder="1"/>
    <xf numFmtId="44" fontId="5" fillId="2" borderId="135" xfId="2" applyFont="1" applyFill="1" applyBorder="1"/>
    <xf numFmtId="10" fontId="0" fillId="0" borderId="2" xfId="0" applyNumberFormat="1" applyBorder="1"/>
    <xf numFmtId="10" fontId="0" fillId="0" borderId="3" xfId="0" applyNumberFormat="1" applyBorder="1"/>
    <xf numFmtId="10" fontId="0" fillId="0" borderId="5" xfId="0" applyNumberFormat="1" applyBorder="1"/>
    <xf numFmtId="10" fontId="0" fillId="0" borderId="6" xfId="0" applyNumberFormat="1" applyBorder="1"/>
    <xf numFmtId="10" fontId="0" fillId="0" borderId="8" xfId="0" applyNumberFormat="1" applyBorder="1"/>
    <xf numFmtId="10" fontId="0" fillId="0" borderId="9" xfId="0" applyNumberFormat="1" applyBorder="1"/>
    <xf numFmtId="2" fontId="0" fillId="0" borderId="2" xfId="0" applyNumberFormat="1" applyBorder="1"/>
    <xf numFmtId="2" fontId="0" fillId="0" borderId="5" xfId="0" applyNumberFormat="1" applyBorder="1"/>
    <xf numFmtId="2" fontId="0" fillId="0" borderId="8" xfId="0" applyNumberFormat="1" applyBorder="1"/>
    <xf numFmtId="41" fontId="58" fillId="30" borderId="48" xfId="2" applyNumberFormat="1" applyFont="1" applyFill="1" applyBorder="1"/>
    <xf numFmtId="0" fontId="36" fillId="3" borderId="0" xfId="0" applyFont="1" applyFill="1" applyBorder="1" applyAlignment="1">
      <alignment horizontal="left"/>
    </xf>
    <xf numFmtId="0" fontId="36" fillId="3" borderId="0" xfId="0" applyFont="1" applyFill="1" applyAlignment="1">
      <alignment horizontal="right"/>
    </xf>
    <xf numFmtId="0" fontId="41" fillId="3" borderId="75" xfId="0" applyFont="1" applyFill="1" applyBorder="1" applyAlignment="1">
      <alignment horizontal="left"/>
    </xf>
    <xf numFmtId="0" fontId="9" fillId="0" borderId="15" xfId="0" applyFont="1" applyFill="1" applyBorder="1" applyAlignment="1">
      <alignment horizontal="center"/>
    </xf>
    <xf numFmtId="0" fontId="9" fillId="0" borderId="14" xfId="0" applyFont="1" applyFill="1" applyBorder="1" applyAlignment="1">
      <alignment horizontal="center"/>
    </xf>
    <xf numFmtId="0" fontId="9" fillId="0" borderId="16"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9" fillId="0" borderId="17" xfId="0" applyFont="1" applyFill="1" applyBorder="1" applyAlignment="1">
      <alignment horizontal="center"/>
    </xf>
  </cellXfs>
  <cellStyles count="8">
    <cellStyle name="Comma" xfId="1" builtinId="3"/>
    <cellStyle name="Comma 2" xfId="5" xr:uid="{04411542-5ED2-44BE-8B4B-641B27E19B0B}"/>
    <cellStyle name="Currency" xfId="2" builtinId="4"/>
    <cellStyle name="Currency 2" xfId="6" xr:uid="{E820A99A-3885-47A5-87B8-ECF177AB4904}"/>
    <cellStyle name="Hyperlink" xfId="4" builtinId="8"/>
    <cellStyle name="Normal" xfId="0" builtinId="0"/>
    <cellStyle name="Normal 2" xfId="7" xr:uid="{DD84A85B-24F7-49CE-AB74-B882E23EB88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48670d414855a40/Copy%20of%20Timberlakes%20Water%20SSD%20Model%201-1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CTSSTFM\Accounts\Active\238305000\Control%20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CTSSTFM\Accounts\Active\785710000\785710000\Control%20Book%20785710000%20v4dated%20may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owth"/>
      <sheetName val="CAPEX"/>
      <sheetName val=" Rate Even"/>
      <sheetName val=" Rate Base"/>
      <sheetName val="Scenario  Even"/>
      <sheetName val="Scenario Base"/>
      <sheetName val="Increase Now all Cash"/>
      <sheetName val="Increase 2020 All Cash"/>
      <sheetName val="Increase Now Bond"/>
      <sheetName val="Increase 2020 Bond "/>
      <sheetName val="Cov 2 20% Salary "/>
      <sheetName val="Sheet2"/>
      <sheetName val="Cov 3 Payoff 2004"/>
      <sheetName val="Cov 4 Payoff 2011"/>
      <sheetName val="Sheet1"/>
      <sheetName val="D DB"/>
      <sheetName val="F1 DB"/>
      <sheetName val="Fin DB"/>
      <sheetName val="F2 DB"/>
      <sheetName val="F3 DB"/>
      <sheetName val="F4 DB"/>
      <sheetName val="Existing Debt"/>
      <sheetName val="Allocation"/>
      <sheetName val="Rate Table"/>
      <sheetName val="Tiers"/>
      <sheetName val="COmps"/>
      <sheetName val="Math"/>
      <sheetName val="Presentation graphs"/>
    </sheetNames>
    <sheetDataSet>
      <sheetData sheetId="0">
        <row r="153">
          <cell r="E153">
            <v>394877.64799999999</v>
          </cell>
          <cell r="F153">
            <v>404749.58919999993</v>
          </cell>
          <cell r="G153">
            <v>414868.32892999996</v>
          </cell>
          <cell r="H153">
            <v>425240.0371532499</v>
          </cell>
          <cell r="I153">
            <v>435871.03808208113</v>
          </cell>
          <cell r="J153">
            <v>542260.5</v>
          </cell>
          <cell r="K153">
            <v>597466.82000000007</v>
          </cell>
          <cell r="L153">
            <v>612403.49049999996</v>
          </cell>
          <cell r="M153">
            <v>627713.57776249992</v>
          </cell>
        </row>
        <row r="213">
          <cell r="E213">
            <v>166631.91999999998</v>
          </cell>
          <cell r="F213">
            <v>170797.71799999999</v>
          </cell>
          <cell r="G213">
            <v>175067.66094999999</v>
          </cell>
          <cell r="H213">
            <v>179444.35247374998</v>
          </cell>
          <cell r="I213">
            <v>183930.46128559369</v>
          </cell>
          <cell r="J213">
            <v>93447.5</v>
          </cell>
          <cell r="K213">
            <v>167217</v>
          </cell>
          <cell r="L213">
            <v>171397.42499999999</v>
          </cell>
          <cell r="M213">
            <v>175682.36062499997</v>
          </cell>
        </row>
      </sheetData>
      <sheetData sheetId="1"/>
      <sheetData sheetId="2"/>
      <sheetData sheetId="3"/>
      <sheetData sheetId="4"/>
      <sheetData sheetId="5"/>
      <sheetData sheetId="6"/>
      <sheetData sheetId="7"/>
      <sheetData sheetId="8"/>
      <sheetData sheetId="9"/>
      <sheetData sheetId="10"/>
      <sheetData sheetId="11">
        <row r="42">
          <cell r="E42">
            <v>-161986</v>
          </cell>
          <cell r="F42">
            <v>0</v>
          </cell>
          <cell r="G42">
            <v>0</v>
          </cell>
          <cell r="H42">
            <v>0</v>
          </cell>
          <cell r="I42">
            <v>0</v>
          </cell>
          <cell r="J42">
            <v>0</v>
          </cell>
          <cell r="K42">
            <v>0</v>
          </cell>
          <cell r="L42">
            <v>0</v>
          </cell>
          <cell r="M42">
            <v>0</v>
          </cell>
        </row>
        <row r="43">
          <cell r="D43">
            <v>-59574.399999999994</v>
          </cell>
          <cell r="E43">
            <v>-59694.399999999994</v>
          </cell>
          <cell r="F43">
            <v>-59796.800000000003</v>
          </cell>
          <cell r="G43">
            <v>-59881.600000000006</v>
          </cell>
          <cell r="H43">
            <v>-59948.800000000003</v>
          </cell>
          <cell r="I43">
            <v>-59998.399999999994</v>
          </cell>
        </row>
        <row r="60">
          <cell r="C60">
            <v>0</v>
          </cell>
          <cell r="D60">
            <v>0</v>
          </cell>
          <cell r="E60">
            <v>-25000</v>
          </cell>
          <cell r="F60">
            <v>-26250</v>
          </cell>
          <cell r="G60">
            <v>-27562.5</v>
          </cell>
          <cell r="H60">
            <v>-28940.625</v>
          </cell>
          <cell r="I60">
            <v>-30387.65625</v>
          </cell>
          <cell r="J60">
            <v>-31907.0390625</v>
          </cell>
          <cell r="K60">
            <v>-33502.391015624999</v>
          </cell>
        </row>
      </sheetData>
      <sheetData sheetId="12"/>
      <sheetData sheetId="13"/>
      <sheetData sheetId="14"/>
      <sheetData sheetId="15"/>
      <sheetData sheetId="16"/>
      <sheetData sheetId="17"/>
      <sheetData sheetId="18"/>
      <sheetData sheetId="19"/>
      <sheetData sheetId="20"/>
      <sheetData sheetId="21"/>
      <sheetData sheetId="22">
        <row r="36">
          <cell r="AF36">
            <v>0</v>
          </cell>
        </row>
      </sheetData>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trol Book"/>
      <sheetName val="Original Amort"/>
      <sheetName val="Amort"/>
      <sheetName val="Optional Calls"/>
      <sheetName val="Asset Coverage"/>
      <sheetName val="Valuation"/>
      <sheetName val="Rental Letter"/>
      <sheetName val="Remittance Inst."/>
      <sheetName val="1st GIC Calc Sheet"/>
      <sheetName val="GIC INT"/>
      <sheetName val="SEITransfer"/>
      <sheetName val="SEIWire"/>
      <sheetName val="SEISameDayCheck"/>
      <sheetName val="SEIACHReceipt"/>
      <sheetName val="SEIACHDisbursement"/>
    </sheetNames>
    <sheetDataSet>
      <sheetData sheetId="0">
        <row r="6">
          <cell r="C6">
            <v>238305000</v>
          </cell>
        </row>
        <row r="7">
          <cell r="C7">
            <v>44545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iw"/>
      <sheetName val="Processor"/>
      <sheetName val="Original Amort"/>
      <sheetName val="Amort"/>
      <sheetName val="Optional Calls"/>
      <sheetName val="Asset Coverage"/>
      <sheetName val="Valuation"/>
      <sheetName val="Rental Letter"/>
      <sheetName val="Remittance Inst."/>
      <sheetName val="1st GIC Calc Sheet"/>
      <sheetName val="GIC INT"/>
      <sheetName val="SEITransfer"/>
      <sheetName val="SEIWire"/>
      <sheetName val="SEISameDayCheck"/>
      <sheetName val="SEIACHReceipt"/>
      <sheetName val="SEIMiscReceipt"/>
      <sheetName val="SEIACHDisbursement"/>
    </sheetNames>
    <sheetDataSet>
      <sheetData sheetId="0">
        <row r="7">
          <cell r="C7">
            <v>44652</v>
          </cell>
        </row>
      </sheetData>
      <sheetData sheetId="1"/>
      <sheetData sheetId="2">
        <row r="1">
          <cell r="H1" t="str">
            <v>Calendar Year</v>
          </cell>
        </row>
        <row r="2">
          <cell r="A2" t="str">
            <v>TIMBER LAKES SSD REVENUE BONDS SERIES 2004</v>
          </cell>
          <cell r="E2">
            <v>785710000</v>
          </cell>
        </row>
        <row r="5">
          <cell r="C5">
            <v>38626</v>
          </cell>
        </row>
        <row r="6">
          <cell r="C6">
            <v>38808</v>
          </cell>
        </row>
        <row r="7">
          <cell r="C7">
            <v>45566</v>
          </cell>
        </row>
        <row r="8">
          <cell r="H8">
            <v>71500</v>
          </cell>
        </row>
      </sheetData>
      <sheetData sheetId="3"/>
      <sheetData sheetId="4">
        <row r="1">
          <cell r="A1">
            <v>785710000</v>
          </cell>
          <cell r="B1" t="str">
            <v>Rate</v>
          </cell>
          <cell r="C1" t="str">
            <v>ORIGINAL O/S</v>
          </cell>
          <cell r="D1" t="str">
            <v>LIST *13</v>
          </cell>
        </row>
        <row r="2">
          <cell r="A2">
            <v>38808</v>
          </cell>
          <cell r="B2">
            <v>1.7600000000000001E-2</v>
          </cell>
          <cell r="C2">
            <v>0</v>
          </cell>
          <cell r="D2">
            <v>0</v>
          </cell>
        </row>
        <row r="3">
          <cell r="A3">
            <v>38991</v>
          </cell>
          <cell r="B3">
            <v>1.7600000000000001E-2</v>
          </cell>
          <cell r="C3">
            <v>43000</v>
          </cell>
          <cell r="D3">
            <v>43000</v>
          </cell>
        </row>
        <row r="4">
          <cell r="A4">
            <v>39173</v>
          </cell>
          <cell r="B4">
            <v>1.7600000000000001E-2</v>
          </cell>
          <cell r="C4">
            <v>0</v>
          </cell>
          <cell r="D4">
            <v>0</v>
          </cell>
        </row>
        <row r="5">
          <cell r="A5">
            <v>39356</v>
          </cell>
          <cell r="B5">
            <v>1.7600000000000001E-2</v>
          </cell>
          <cell r="C5">
            <v>44000</v>
          </cell>
          <cell r="D5">
            <v>44000</v>
          </cell>
        </row>
        <row r="6">
          <cell r="A6">
            <v>39539</v>
          </cell>
          <cell r="B6">
            <v>1.7600000000000001E-2</v>
          </cell>
          <cell r="C6">
            <v>0</v>
          </cell>
          <cell r="D6">
            <v>0</v>
          </cell>
        </row>
        <row r="7">
          <cell r="A7">
            <v>39722</v>
          </cell>
          <cell r="B7">
            <v>1.7600000000000001E-2</v>
          </cell>
          <cell r="C7">
            <v>44000</v>
          </cell>
          <cell r="D7">
            <v>44000</v>
          </cell>
        </row>
        <row r="8">
          <cell r="A8">
            <v>39904</v>
          </cell>
          <cell r="B8">
            <v>1.7600000000000001E-2</v>
          </cell>
          <cell r="C8">
            <v>0</v>
          </cell>
          <cell r="D8">
            <v>0</v>
          </cell>
        </row>
        <row r="9">
          <cell r="A9">
            <v>40087</v>
          </cell>
          <cell r="B9">
            <v>1.7600000000000001E-2</v>
          </cell>
          <cell r="C9">
            <v>45000</v>
          </cell>
          <cell r="D9">
            <v>45000</v>
          </cell>
        </row>
        <row r="10">
          <cell r="A10">
            <v>40269</v>
          </cell>
          <cell r="B10">
            <v>1.7600000000000001E-2</v>
          </cell>
          <cell r="C10">
            <v>0</v>
          </cell>
          <cell r="D10">
            <v>0</v>
          </cell>
        </row>
        <row r="11">
          <cell r="A11">
            <v>40452</v>
          </cell>
          <cell r="B11">
            <v>1.7600000000000001E-2</v>
          </cell>
          <cell r="C11">
            <v>46000</v>
          </cell>
          <cell r="D11">
            <v>46000</v>
          </cell>
        </row>
        <row r="12">
          <cell r="A12">
            <v>40634</v>
          </cell>
          <cell r="B12">
            <v>1.7600000000000001E-2</v>
          </cell>
          <cell r="C12">
            <v>0</v>
          </cell>
          <cell r="D12">
            <v>0</v>
          </cell>
        </row>
        <row r="13">
          <cell r="A13">
            <v>40817</v>
          </cell>
          <cell r="B13">
            <v>1.7600000000000001E-2</v>
          </cell>
          <cell r="C13">
            <v>47000</v>
          </cell>
          <cell r="D13">
            <v>47000</v>
          </cell>
        </row>
        <row r="14">
          <cell r="A14">
            <v>41000</v>
          </cell>
          <cell r="B14">
            <v>1.7600000000000001E-2</v>
          </cell>
          <cell r="C14">
            <v>0</v>
          </cell>
          <cell r="D14">
            <v>0</v>
          </cell>
        </row>
        <row r="15">
          <cell r="A15">
            <v>41183</v>
          </cell>
          <cell r="B15">
            <v>1.7600000000000001E-2</v>
          </cell>
          <cell r="C15">
            <v>48000</v>
          </cell>
          <cell r="D15">
            <v>48000</v>
          </cell>
        </row>
        <row r="16">
          <cell r="A16">
            <v>41365</v>
          </cell>
          <cell r="B16">
            <v>1.7600000000000001E-2</v>
          </cell>
          <cell r="C16">
            <v>0</v>
          </cell>
          <cell r="D16">
            <v>0</v>
          </cell>
        </row>
        <row r="17">
          <cell r="A17">
            <v>41548</v>
          </cell>
          <cell r="B17">
            <v>1.7600000000000001E-2</v>
          </cell>
          <cell r="C17">
            <v>48000</v>
          </cell>
          <cell r="D17">
            <v>48000</v>
          </cell>
        </row>
        <row r="18">
          <cell r="A18">
            <v>41730</v>
          </cell>
          <cell r="B18">
            <v>1.7600000000000001E-2</v>
          </cell>
          <cell r="C18">
            <v>0</v>
          </cell>
          <cell r="D18">
            <v>0</v>
          </cell>
        </row>
        <row r="19">
          <cell r="A19">
            <v>41913</v>
          </cell>
          <cell r="B19">
            <v>1.7600000000000001E-2</v>
          </cell>
          <cell r="C19">
            <v>49000</v>
          </cell>
          <cell r="D19">
            <v>49000</v>
          </cell>
        </row>
        <row r="20">
          <cell r="A20">
            <v>42095</v>
          </cell>
          <cell r="B20">
            <v>1.7600000000000001E-2</v>
          </cell>
          <cell r="C20">
            <v>0</v>
          </cell>
          <cell r="D20">
            <v>0</v>
          </cell>
        </row>
        <row r="21">
          <cell r="A21">
            <v>42278</v>
          </cell>
          <cell r="B21">
            <v>1.7600000000000001E-2</v>
          </cell>
          <cell r="C21">
            <v>50000</v>
          </cell>
          <cell r="D21">
            <v>50000</v>
          </cell>
        </row>
        <row r="22">
          <cell r="A22">
            <v>42461</v>
          </cell>
          <cell r="B22">
            <v>1.7600000000000001E-2</v>
          </cell>
          <cell r="C22">
            <v>0</v>
          </cell>
          <cell r="D22">
            <v>0</v>
          </cell>
        </row>
        <row r="23">
          <cell r="A23">
            <v>42644</v>
          </cell>
          <cell r="B23">
            <v>1.7600000000000001E-2</v>
          </cell>
          <cell r="C23">
            <v>51000</v>
          </cell>
          <cell r="D23">
            <v>51000</v>
          </cell>
        </row>
        <row r="24">
          <cell r="A24">
            <v>42826</v>
          </cell>
          <cell r="B24">
            <v>1.7600000000000001E-2</v>
          </cell>
          <cell r="C24">
            <v>0</v>
          </cell>
          <cell r="D24">
            <v>0</v>
          </cell>
        </row>
        <row r="25">
          <cell r="A25">
            <v>43009</v>
          </cell>
          <cell r="B25">
            <v>1.7600000000000001E-2</v>
          </cell>
          <cell r="C25">
            <v>52000</v>
          </cell>
          <cell r="D25">
            <v>52000</v>
          </cell>
        </row>
        <row r="26">
          <cell r="A26">
            <v>43191</v>
          </cell>
          <cell r="B26">
            <v>1.7600000000000001E-2</v>
          </cell>
          <cell r="C26">
            <v>0</v>
          </cell>
          <cell r="D26">
            <v>0</v>
          </cell>
        </row>
        <row r="27">
          <cell r="A27">
            <v>43374</v>
          </cell>
          <cell r="B27">
            <v>1.7600000000000001E-2</v>
          </cell>
          <cell r="C27">
            <v>53000</v>
          </cell>
          <cell r="D27">
            <v>53000</v>
          </cell>
        </row>
        <row r="28">
          <cell r="A28">
            <v>43556</v>
          </cell>
          <cell r="B28">
            <v>1.7600000000000001E-2</v>
          </cell>
          <cell r="C28">
            <v>0</v>
          </cell>
          <cell r="D28">
            <v>0</v>
          </cell>
        </row>
        <row r="29">
          <cell r="A29">
            <v>43739</v>
          </cell>
          <cell r="B29">
            <v>1.7600000000000001E-2</v>
          </cell>
          <cell r="C29">
            <v>54000</v>
          </cell>
          <cell r="D29">
            <v>54000</v>
          </cell>
        </row>
        <row r="30">
          <cell r="A30">
            <v>43922</v>
          </cell>
          <cell r="B30">
            <v>1.7600000000000001E-2</v>
          </cell>
          <cell r="C30">
            <v>0</v>
          </cell>
          <cell r="D30">
            <v>0</v>
          </cell>
        </row>
        <row r="31">
          <cell r="A31">
            <v>44105</v>
          </cell>
          <cell r="B31">
            <v>1.7600000000000001E-2</v>
          </cell>
          <cell r="C31">
            <v>55000</v>
          </cell>
          <cell r="D31">
            <v>55000</v>
          </cell>
        </row>
        <row r="32">
          <cell r="A32">
            <v>44287</v>
          </cell>
          <cell r="B32">
            <v>1.7600000000000001E-2</v>
          </cell>
          <cell r="C32">
            <v>0</v>
          </cell>
          <cell r="D32">
            <v>0</v>
          </cell>
        </row>
        <row r="33">
          <cell r="A33">
            <v>44470</v>
          </cell>
          <cell r="B33">
            <v>1.7600000000000001E-2</v>
          </cell>
          <cell r="C33">
            <v>56000</v>
          </cell>
          <cell r="D33">
            <v>56000</v>
          </cell>
        </row>
        <row r="34">
          <cell r="A34">
            <v>44652</v>
          </cell>
          <cell r="B34">
            <v>1.7600000000000001E-2</v>
          </cell>
          <cell r="C34">
            <v>0</v>
          </cell>
          <cell r="D34">
            <v>0</v>
          </cell>
        </row>
        <row r="35">
          <cell r="A35">
            <v>44835</v>
          </cell>
          <cell r="B35">
            <v>1.7600000000000001E-2</v>
          </cell>
          <cell r="C35">
            <v>57000</v>
          </cell>
          <cell r="D35">
            <v>57000</v>
          </cell>
        </row>
        <row r="36">
          <cell r="A36">
            <v>45017</v>
          </cell>
          <cell r="B36">
            <v>1.7600000000000001E-2</v>
          </cell>
          <cell r="C36">
            <v>0</v>
          </cell>
          <cell r="D36">
            <v>0</v>
          </cell>
        </row>
        <row r="37">
          <cell r="A37">
            <v>45200</v>
          </cell>
          <cell r="B37">
            <v>1.7600000000000001E-2</v>
          </cell>
          <cell r="C37">
            <v>57000</v>
          </cell>
          <cell r="D37">
            <v>57000</v>
          </cell>
        </row>
        <row r="38">
          <cell r="A38">
            <v>45383</v>
          </cell>
          <cell r="B38">
            <v>1.7600000000000001E-2</v>
          </cell>
          <cell r="C38">
            <v>0</v>
          </cell>
          <cell r="D38">
            <v>0</v>
          </cell>
        </row>
        <row r="39">
          <cell r="A39">
            <v>45566</v>
          </cell>
          <cell r="B39">
            <v>1.7600000000000001E-2</v>
          </cell>
          <cell r="C39">
            <v>59000</v>
          </cell>
          <cell r="D39">
            <v>59000</v>
          </cell>
        </row>
        <row r="40">
          <cell r="A40" t="str">
            <v/>
          </cell>
          <cell r="B40">
            <v>0</v>
          </cell>
          <cell r="C40">
            <v>0</v>
          </cell>
          <cell r="D40">
            <v>0</v>
          </cell>
        </row>
        <row r="41">
          <cell r="A41" t="str">
            <v/>
          </cell>
          <cell r="B41">
            <v>0</v>
          </cell>
          <cell r="C41">
            <v>0</v>
          </cell>
          <cell r="D41">
            <v>0</v>
          </cell>
        </row>
        <row r="42">
          <cell r="A42" t="str">
            <v/>
          </cell>
          <cell r="B42">
            <v>0</v>
          </cell>
          <cell r="C42">
            <v>0</v>
          </cell>
          <cell r="D42">
            <v>0</v>
          </cell>
        </row>
        <row r="43">
          <cell r="A43" t="str">
            <v/>
          </cell>
          <cell r="B43">
            <v>0</v>
          </cell>
          <cell r="C43">
            <v>0</v>
          </cell>
          <cell r="D43">
            <v>0</v>
          </cell>
        </row>
        <row r="44">
          <cell r="A44" t="str">
            <v/>
          </cell>
          <cell r="B44">
            <v>0</v>
          </cell>
          <cell r="C44">
            <v>0</v>
          </cell>
          <cell r="D44">
            <v>0</v>
          </cell>
        </row>
        <row r="45">
          <cell r="A45" t="str">
            <v/>
          </cell>
          <cell r="B45">
            <v>0</v>
          </cell>
          <cell r="C45">
            <v>0</v>
          </cell>
          <cell r="D45">
            <v>0</v>
          </cell>
        </row>
        <row r="46">
          <cell r="A46" t="str">
            <v/>
          </cell>
          <cell r="B46">
            <v>0</v>
          </cell>
          <cell r="C46">
            <v>0</v>
          </cell>
          <cell r="D46">
            <v>0</v>
          </cell>
        </row>
        <row r="47">
          <cell r="A47" t="str">
            <v/>
          </cell>
          <cell r="B47">
            <v>0</v>
          </cell>
          <cell r="C47">
            <v>0</v>
          </cell>
          <cell r="D47">
            <v>0</v>
          </cell>
        </row>
        <row r="48">
          <cell r="A48" t="str">
            <v/>
          </cell>
          <cell r="B48">
            <v>0</v>
          </cell>
          <cell r="C48">
            <v>0</v>
          </cell>
          <cell r="D48">
            <v>0</v>
          </cell>
        </row>
        <row r="49">
          <cell r="A49" t="str">
            <v/>
          </cell>
          <cell r="B49">
            <v>0</v>
          </cell>
          <cell r="C49">
            <v>0</v>
          </cell>
          <cell r="D49">
            <v>0</v>
          </cell>
        </row>
        <row r="50">
          <cell r="A50" t="str">
            <v/>
          </cell>
          <cell r="B50">
            <v>0</v>
          </cell>
          <cell r="C50">
            <v>0</v>
          </cell>
          <cell r="D50">
            <v>0</v>
          </cell>
        </row>
        <row r="51">
          <cell r="A51" t="str">
            <v/>
          </cell>
          <cell r="B51">
            <v>0</v>
          </cell>
          <cell r="C51">
            <v>0</v>
          </cell>
          <cell r="D51">
            <v>0</v>
          </cell>
        </row>
        <row r="52">
          <cell r="A52" t="str">
            <v/>
          </cell>
          <cell r="B52">
            <v>0</v>
          </cell>
          <cell r="C52">
            <v>0</v>
          </cell>
          <cell r="D52">
            <v>0</v>
          </cell>
        </row>
        <row r="53">
          <cell r="A53" t="str">
            <v/>
          </cell>
          <cell r="B53">
            <v>0</v>
          </cell>
          <cell r="C53">
            <v>0</v>
          </cell>
          <cell r="D53">
            <v>0</v>
          </cell>
        </row>
        <row r="54">
          <cell r="A54" t="str">
            <v/>
          </cell>
          <cell r="B54">
            <v>0</v>
          </cell>
          <cell r="C54">
            <v>0</v>
          </cell>
          <cell r="D54">
            <v>0</v>
          </cell>
        </row>
        <row r="55">
          <cell r="A55" t="str">
            <v/>
          </cell>
          <cell r="B55">
            <v>0</v>
          </cell>
          <cell r="C55">
            <v>0</v>
          </cell>
          <cell r="D55">
            <v>0</v>
          </cell>
        </row>
        <row r="56">
          <cell r="A56" t="str">
            <v/>
          </cell>
          <cell r="B56">
            <v>0</v>
          </cell>
          <cell r="C56">
            <v>0</v>
          </cell>
          <cell r="D56">
            <v>0</v>
          </cell>
        </row>
        <row r="57">
          <cell r="A57" t="str">
            <v/>
          </cell>
          <cell r="B57">
            <v>0</v>
          </cell>
          <cell r="C57">
            <v>0</v>
          </cell>
          <cell r="D57">
            <v>0</v>
          </cell>
        </row>
        <row r="58">
          <cell r="A58" t="str">
            <v/>
          </cell>
          <cell r="B58">
            <v>0</v>
          </cell>
          <cell r="C58">
            <v>0</v>
          </cell>
          <cell r="D58">
            <v>0</v>
          </cell>
        </row>
        <row r="59">
          <cell r="A59" t="str">
            <v/>
          </cell>
          <cell r="B59">
            <v>0</v>
          </cell>
          <cell r="C59">
            <v>0</v>
          </cell>
          <cell r="D59">
            <v>0</v>
          </cell>
        </row>
        <row r="60">
          <cell r="A60" t="str">
            <v/>
          </cell>
          <cell r="B60">
            <v>0</v>
          </cell>
          <cell r="C60">
            <v>0</v>
          </cell>
          <cell r="D60">
            <v>0</v>
          </cell>
        </row>
        <row r="61">
          <cell r="A61" t="str">
            <v/>
          </cell>
          <cell r="B61">
            <v>0</v>
          </cell>
          <cell r="C61">
            <v>0</v>
          </cell>
          <cell r="D61">
            <v>0</v>
          </cell>
        </row>
        <row r="62">
          <cell r="A62" t="str">
            <v/>
          </cell>
          <cell r="B62">
            <v>0</v>
          </cell>
          <cell r="C62">
            <v>0</v>
          </cell>
          <cell r="D62">
            <v>0</v>
          </cell>
        </row>
        <row r="63">
          <cell r="A63" t="str">
            <v/>
          </cell>
          <cell r="B63">
            <v>0</v>
          </cell>
          <cell r="C63">
            <v>0</v>
          </cell>
          <cell r="D63">
            <v>0</v>
          </cell>
        </row>
        <row r="64">
          <cell r="A64" t="str">
            <v/>
          </cell>
          <cell r="B64">
            <v>0</v>
          </cell>
          <cell r="C64">
            <v>0</v>
          </cell>
          <cell r="D64">
            <v>0</v>
          </cell>
        </row>
        <row r="65">
          <cell r="A65" t="str">
            <v/>
          </cell>
          <cell r="B65">
            <v>0</v>
          </cell>
          <cell r="C65">
            <v>0</v>
          </cell>
          <cell r="D65">
            <v>0</v>
          </cell>
        </row>
        <row r="66">
          <cell r="A66" t="str">
            <v/>
          </cell>
          <cell r="B66">
            <v>0</v>
          </cell>
          <cell r="C66">
            <v>0</v>
          </cell>
          <cell r="D66">
            <v>0</v>
          </cell>
        </row>
        <row r="67">
          <cell r="A67" t="str">
            <v/>
          </cell>
          <cell r="B67">
            <v>0</v>
          </cell>
          <cell r="C67">
            <v>0</v>
          </cell>
          <cell r="D67">
            <v>0</v>
          </cell>
        </row>
        <row r="68">
          <cell r="A68" t="str">
            <v/>
          </cell>
          <cell r="B68">
            <v>0</v>
          </cell>
          <cell r="C68">
            <v>0</v>
          </cell>
          <cell r="D68">
            <v>0</v>
          </cell>
        </row>
        <row r="69">
          <cell r="A69" t="str">
            <v/>
          </cell>
          <cell r="B69">
            <v>0</v>
          </cell>
          <cell r="C69">
            <v>0</v>
          </cell>
          <cell r="D69">
            <v>0</v>
          </cell>
        </row>
        <row r="70">
          <cell r="A70" t="str">
            <v/>
          </cell>
          <cell r="B70">
            <v>0</v>
          </cell>
          <cell r="C70">
            <v>0</v>
          </cell>
          <cell r="D70">
            <v>0</v>
          </cell>
        </row>
        <row r="71">
          <cell r="A71" t="str">
            <v/>
          </cell>
          <cell r="B71">
            <v>0</v>
          </cell>
          <cell r="C71">
            <v>0</v>
          </cell>
          <cell r="D71">
            <v>0</v>
          </cell>
        </row>
        <row r="72">
          <cell r="A72" t="str">
            <v/>
          </cell>
          <cell r="B72">
            <v>0</v>
          </cell>
          <cell r="C72">
            <v>0</v>
          </cell>
          <cell r="D72">
            <v>0</v>
          </cell>
        </row>
        <row r="73">
          <cell r="A73" t="str">
            <v/>
          </cell>
          <cell r="B73">
            <v>0</v>
          </cell>
          <cell r="C73">
            <v>0</v>
          </cell>
          <cell r="D73">
            <v>0</v>
          </cell>
        </row>
        <row r="74">
          <cell r="A74" t="str">
            <v/>
          </cell>
          <cell r="B74">
            <v>0</v>
          </cell>
          <cell r="C74">
            <v>0</v>
          </cell>
          <cell r="D74">
            <v>0</v>
          </cell>
        </row>
        <row r="75">
          <cell r="A75" t="str">
            <v/>
          </cell>
          <cell r="B75">
            <v>0</v>
          </cell>
          <cell r="C75">
            <v>0</v>
          </cell>
          <cell r="D75">
            <v>0</v>
          </cell>
        </row>
        <row r="76">
          <cell r="A76" t="str">
            <v/>
          </cell>
          <cell r="B76">
            <v>0</v>
          </cell>
          <cell r="C76">
            <v>0</v>
          </cell>
          <cell r="D76">
            <v>0</v>
          </cell>
        </row>
        <row r="77">
          <cell r="A77" t="str">
            <v/>
          </cell>
          <cell r="B77">
            <v>0</v>
          </cell>
          <cell r="C77">
            <v>0</v>
          </cell>
          <cell r="D77">
            <v>0</v>
          </cell>
        </row>
        <row r="78">
          <cell r="A78" t="str">
            <v/>
          </cell>
          <cell r="B78">
            <v>0</v>
          </cell>
          <cell r="C78">
            <v>0</v>
          </cell>
          <cell r="D78">
            <v>0</v>
          </cell>
        </row>
        <row r="79">
          <cell r="A79" t="str">
            <v/>
          </cell>
          <cell r="B79">
            <v>0</v>
          </cell>
          <cell r="C79">
            <v>0</v>
          </cell>
          <cell r="D79">
            <v>0</v>
          </cell>
        </row>
        <row r="80">
          <cell r="A80" t="str">
            <v/>
          </cell>
          <cell r="B80">
            <v>0</v>
          </cell>
          <cell r="C80">
            <v>0</v>
          </cell>
          <cell r="D80">
            <v>0</v>
          </cell>
        </row>
        <row r="81">
          <cell r="A81" t="str">
            <v/>
          </cell>
          <cell r="B81">
            <v>0</v>
          </cell>
          <cell r="C81">
            <v>0</v>
          </cell>
          <cell r="D81">
            <v>0</v>
          </cell>
        </row>
        <row r="82">
          <cell r="A82" t="str">
            <v/>
          </cell>
          <cell r="B82">
            <v>0</v>
          </cell>
          <cell r="C82">
            <v>0</v>
          </cell>
          <cell r="D82">
            <v>0</v>
          </cell>
        </row>
        <row r="83">
          <cell r="A83" t="str">
            <v/>
          </cell>
          <cell r="B83">
            <v>0</v>
          </cell>
          <cell r="C83">
            <v>0</v>
          </cell>
          <cell r="D83">
            <v>0</v>
          </cell>
        </row>
        <row r="84">
          <cell r="A84" t="str">
            <v/>
          </cell>
          <cell r="B84">
            <v>0</v>
          </cell>
          <cell r="C84">
            <v>0</v>
          </cell>
          <cell r="D84">
            <v>0</v>
          </cell>
        </row>
        <row r="85">
          <cell r="A85" t="str">
            <v/>
          </cell>
          <cell r="B85">
            <v>0</v>
          </cell>
          <cell r="C85">
            <v>0</v>
          </cell>
          <cell r="D85">
            <v>0</v>
          </cell>
        </row>
        <row r="86">
          <cell r="A86" t="str">
            <v/>
          </cell>
          <cell r="B86">
            <v>0</v>
          </cell>
          <cell r="C86">
            <v>0</v>
          </cell>
          <cell r="D86">
            <v>0</v>
          </cell>
        </row>
        <row r="87">
          <cell r="A87" t="str">
            <v/>
          </cell>
          <cell r="B87">
            <v>0</v>
          </cell>
          <cell r="C87">
            <v>0</v>
          </cell>
          <cell r="D87">
            <v>0</v>
          </cell>
        </row>
        <row r="88">
          <cell r="A88" t="str">
            <v/>
          </cell>
          <cell r="B88">
            <v>0</v>
          </cell>
          <cell r="C88">
            <v>0</v>
          </cell>
          <cell r="D88">
            <v>0</v>
          </cell>
        </row>
        <row r="89">
          <cell r="A89" t="str">
            <v/>
          </cell>
          <cell r="B89">
            <v>0</v>
          </cell>
          <cell r="C89">
            <v>0</v>
          </cell>
          <cell r="D89">
            <v>0</v>
          </cell>
        </row>
        <row r="90">
          <cell r="A90" t="str">
            <v/>
          </cell>
          <cell r="B90">
            <v>0</v>
          </cell>
          <cell r="C90">
            <v>0</v>
          </cell>
          <cell r="D90">
            <v>0</v>
          </cell>
        </row>
        <row r="91">
          <cell r="A91" t="str">
            <v>Total</v>
          </cell>
          <cell r="C91">
            <v>958000</v>
          </cell>
          <cell r="D91">
            <v>958000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0749-2A76-4EC6-AD1C-488001D78A00}">
  <sheetPr>
    <pageSetUpPr fitToPage="1"/>
  </sheetPr>
  <dimension ref="A1:S61"/>
  <sheetViews>
    <sheetView workbookViewId="0">
      <selection activeCell="A13" sqref="A13"/>
    </sheetView>
  </sheetViews>
  <sheetFormatPr defaultRowHeight="15" x14ac:dyDescent="0.25"/>
  <cols>
    <col min="1" max="1" width="61.140625" bestFit="1" customWidth="1"/>
    <col min="2" max="2" width="11" bestFit="1" customWidth="1"/>
    <col min="3" max="3" width="22.85546875" bestFit="1" customWidth="1"/>
    <col min="4" max="4" width="18.28515625" bestFit="1" customWidth="1"/>
    <col min="5" max="5" width="12.5703125" bestFit="1" customWidth="1"/>
    <col min="6" max="6" width="14.7109375" bestFit="1" customWidth="1"/>
    <col min="7" max="7" width="12.85546875" bestFit="1" customWidth="1"/>
    <col min="8" max="8" width="13.140625" bestFit="1" customWidth="1"/>
    <col min="9" max="9" width="14" bestFit="1" customWidth="1"/>
    <col min="10" max="10" width="13.140625" bestFit="1" customWidth="1"/>
    <col min="11" max="11" width="11.85546875" bestFit="1" customWidth="1"/>
    <col min="12" max="12" width="13.140625" bestFit="1" customWidth="1"/>
    <col min="13" max="13" width="11.85546875" bestFit="1" customWidth="1"/>
    <col min="14" max="14" width="13.140625" bestFit="1" customWidth="1"/>
    <col min="15" max="15" width="11.85546875" bestFit="1" customWidth="1"/>
    <col min="16" max="16" width="13.140625" bestFit="1" customWidth="1"/>
    <col min="17" max="17" width="18.42578125" customWidth="1"/>
    <col min="18" max="18" width="13.140625" bestFit="1" customWidth="1"/>
  </cols>
  <sheetData>
    <row r="1" spans="1:18" ht="47.25" x14ac:dyDescent="0.25">
      <c r="A1" s="195"/>
      <c r="B1" s="196" t="s">
        <v>206</v>
      </c>
      <c r="C1" s="197" t="s">
        <v>207</v>
      </c>
      <c r="D1" s="197" t="s">
        <v>208</v>
      </c>
      <c r="E1" s="196" t="s">
        <v>209</v>
      </c>
      <c r="F1" s="197" t="s">
        <v>210</v>
      </c>
      <c r="G1" s="197" t="s">
        <v>208</v>
      </c>
      <c r="H1" s="196" t="s">
        <v>211</v>
      </c>
      <c r="I1" s="197" t="s">
        <v>212</v>
      </c>
      <c r="J1" s="197"/>
      <c r="K1" s="197"/>
      <c r="L1" s="196" t="s">
        <v>213</v>
      </c>
    </row>
    <row r="2" spans="1:18" ht="15.75" x14ac:dyDescent="0.25">
      <c r="A2" s="198" t="s">
        <v>214</v>
      </c>
      <c r="B2" s="199">
        <v>-136920</v>
      </c>
      <c r="C2" s="200">
        <v>236574</v>
      </c>
      <c r="D2" s="201"/>
      <c r="E2" s="199">
        <v>320000</v>
      </c>
      <c r="F2" s="200">
        <v>99654</v>
      </c>
      <c r="G2" s="201"/>
      <c r="H2" s="199">
        <v>419654</v>
      </c>
      <c r="I2" s="200">
        <v>145443</v>
      </c>
      <c r="J2" s="200"/>
      <c r="K2" s="201"/>
      <c r="L2" s="199">
        <v>565097</v>
      </c>
      <c r="M2" s="217">
        <f>C2+F2+I2</f>
        <v>481671</v>
      </c>
      <c r="R2">
        <f>890*12</f>
        <v>10680</v>
      </c>
    </row>
    <row r="3" spans="1:18" ht="15.75" x14ac:dyDescent="0.25">
      <c r="A3" s="198"/>
      <c r="B3" s="202"/>
      <c r="C3" s="201"/>
      <c r="D3" s="201"/>
      <c r="E3" s="202"/>
      <c r="F3" s="201"/>
      <c r="G3" s="201"/>
      <c r="H3" s="202"/>
      <c r="I3" s="201"/>
      <c r="J3" s="201"/>
      <c r="K3" s="201"/>
      <c r="L3" s="202"/>
    </row>
    <row r="4" spans="1:18" ht="15.75" x14ac:dyDescent="0.25">
      <c r="A4" s="203" t="s">
        <v>215</v>
      </c>
      <c r="B4" s="204"/>
      <c r="C4" s="205"/>
      <c r="D4" s="205"/>
      <c r="E4" s="204"/>
      <c r="F4" s="205"/>
      <c r="G4" s="205"/>
      <c r="H4" s="204"/>
      <c r="I4" s="205"/>
      <c r="J4" s="205"/>
      <c r="K4" s="205"/>
      <c r="L4" s="204"/>
    </row>
    <row r="5" spans="1:18" ht="49.5" customHeight="1" x14ac:dyDescent="0.25">
      <c r="A5" s="203" t="s">
        <v>227</v>
      </c>
      <c r="B5" s="204"/>
      <c r="C5" s="205"/>
      <c r="D5" s="213">
        <f>15000/10680</f>
        <v>1.404494382022472</v>
      </c>
      <c r="E5" s="204"/>
      <c r="F5" s="205"/>
      <c r="G5" s="205"/>
      <c r="H5" s="204"/>
      <c r="I5" s="205"/>
      <c r="J5" s="205"/>
      <c r="K5" s="205"/>
      <c r="L5" s="204"/>
    </row>
    <row r="6" spans="1:18" ht="15.75" x14ac:dyDescent="0.25">
      <c r="A6" s="206" t="s">
        <v>216</v>
      </c>
      <c r="B6" s="207">
        <v>252840</v>
      </c>
      <c r="C6" s="208">
        <v>75852</v>
      </c>
      <c r="D6" s="209">
        <v>7.18</v>
      </c>
      <c r="E6" s="207">
        <v>328692</v>
      </c>
      <c r="F6" s="208">
        <v>32869</v>
      </c>
      <c r="G6" s="208">
        <v>3</v>
      </c>
      <c r="H6" s="207">
        <v>361561</v>
      </c>
      <c r="I6" s="208">
        <v>18078</v>
      </c>
      <c r="J6" s="208"/>
      <c r="K6" s="208">
        <v>2</v>
      </c>
      <c r="L6" s="207">
        <v>379639</v>
      </c>
    </row>
    <row r="7" spans="1:18" ht="15.75" x14ac:dyDescent="0.25">
      <c r="A7" s="206" t="s">
        <v>217</v>
      </c>
      <c r="B7" s="210">
        <v>267300</v>
      </c>
      <c r="C7" s="208">
        <v>80190</v>
      </c>
      <c r="D7" s="209">
        <v>4.55</v>
      </c>
      <c r="E7" s="207">
        <v>347490</v>
      </c>
      <c r="F7" s="208">
        <v>34749</v>
      </c>
      <c r="G7" s="208">
        <v>2</v>
      </c>
      <c r="H7" s="210">
        <v>382239</v>
      </c>
      <c r="I7" s="208">
        <v>19112</v>
      </c>
      <c r="J7" s="208"/>
      <c r="K7" s="208">
        <v>1</v>
      </c>
      <c r="L7" s="210">
        <v>401351</v>
      </c>
    </row>
    <row r="8" spans="1:18" ht="15.75" x14ac:dyDescent="0.25">
      <c r="A8" s="206" t="s">
        <v>218</v>
      </c>
      <c r="B8" s="210">
        <v>45000</v>
      </c>
      <c r="C8" s="208">
        <v>13500</v>
      </c>
      <c r="D8" s="200">
        <v>1</v>
      </c>
      <c r="E8" s="210">
        <v>58500</v>
      </c>
      <c r="F8" s="208">
        <v>5850</v>
      </c>
      <c r="G8" s="208">
        <v>1</v>
      </c>
      <c r="H8" s="210">
        <v>64350</v>
      </c>
      <c r="I8" s="208">
        <v>3218</v>
      </c>
      <c r="J8" s="208"/>
      <c r="K8" s="205"/>
      <c r="L8" s="210">
        <v>67568</v>
      </c>
    </row>
    <row r="9" spans="1:18" ht="31.5" x14ac:dyDescent="0.25">
      <c r="A9" s="206" t="s">
        <v>219</v>
      </c>
      <c r="B9" s="210">
        <v>204160</v>
      </c>
      <c r="C9" s="205" t="s">
        <v>220</v>
      </c>
      <c r="D9" s="201"/>
      <c r="E9" s="210">
        <v>204160</v>
      </c>
      <c r="F9" s="205" t="s">
        <v>221</v>
      </c>
      <c r="G9" s="205"/>
      <c r="H9" s="210">
        <v>204160</v>
      </c>
      <c r="I9" s="205" t="s">
        <v>222</v>
      </c>
      <c r="J9" s="205"/>
      <c r="K9" s="205"/>
      <c r="L9" s="210">
        <v>204160</v>
      </c>
    </row>
    <row r="10" spans="1:18" ht="31.5" x14ac:dyDescent="0.25">
      <c r="A10" s="206" t="s">
        <v>223</v>
      </c>
      <c r="B10" s="210">
        <v>12000</v>
      </c>
      <c r="C10" s="205" t="s">
        <v>220</v>
      </c>
      <c r="D10" s="201"/>
      <c r="E10" s="210">
        <v>12000</v>
      </c>
      <c r="F10" s="205"/>
      <c r="G10" s="205"/>
      <c r="H10" s="210">
        <v>11504</v>
      </c>
      <c r="I10" s="205" t="s">
        <v>222</v>
      </c>
      <c r="J10" s="205"/>
      <c r="K10" s="205"/>
      <c r="L10" s="210">
        <v>11504</v>
      </c>
    </row>
    <row r="11" spans="1:18" ht="31.5" x14ac:dyDescent="0.25">
      <c r="A11" s="206" t="s">
        <v>224</v>
      </c>
      <c r="B11" s="210">
        <v>50000</v>
      </c>
      <c r="C11" s="208">
        <v>-15000</v>
      </c>
      <c r="D11" s="201"/>
      <c r="E11" s="210">
        <v>35000</v>
      </c>
      <c r="F11" s="205"/>
      <c r="G11" s="205"/>
      <c r="H11" s="210">
        <v>35000</v>
      </c>
      <c r="I11" s="205" t="s">
        <v>222</v>
      </c>
      <c r="J11" s="205"/>
      <c r="K11" s="205"/>
      <c r="L11" s="210">
        <v>35000</v>
      </c>
    </row>
    <row r="12" spans="1:18" ht="31.5" x14ac:dyDescent="0.25">
      <c r="A12" s="206" t="s">
        <v>101</v>
      </c>
      <c r="B12" s="210">
        <v>25916</v>
      </c>
      <c r="C12" s="205" t="s">
        <v>220</v>
      </c>
      <c r="D12" s="201"/>
      <c r="E12" s="210">
        <v>25916</v>
      </c>
      <c r="F12" s="205"/>
      <c r="G12" s="205"/>
      <c r="H12" s="204" t="s">
        <v>225</v>
      </c>
      <c r="I12" s="205" t="s">
        <v>222</v>
      </c>
      <c r="J12" s="205"/>
      <c r="K12" s="205"/>
      <c r="L12" s="204" t="s">
        <v>225</v>
      </c>
    </row>
    <row r="13" spans="1:18" ht="15.75" x14ac:dyDescent="0.25">
      <c r="A13" s="211" t="s">
        <v>226</v>
      </c>
      <c r="B13" s="212">
        <v>653056</v>
      </c>
      <c r="C13" s="200">
        <v>154542</v>
      </c>
      <c r="D13" s="200">
        <v>13</v>
      </c>
      <c r="E13" s="212">
        <v>985346</v>
      </c>
      <c r="F13" s="200">
        <v>73468</v>
      </c>
      <c r="G13" s="200">
        <v>6</v>
      </c>
      <c r="H13" s="212">
        <v>1058814</v>
      </c>
      <c r="I13" s="200">
        <v>40408</v>
      </c>
      <c r="J13" s="200"/>
      <c r="K13" s="200">
        <v>3</v>
      </c>
      <c r="L13" s="212">
        <v>1099222</v>
      </c>
    </row>
    <row r="17" spans="1:14" ht="84.75" customHeight="1" thickBot="1" x14ac:dyDescent="0.3">
      <c r="A17" s="216"/>
      <c r="C17" s="214">
        <v>2016</v>
      </c>
      <c r="D17" s="214">
        <v>2017</v>
      </c>
      <c r="E17" s="214">
        <v>2018</v>
      </c>
      <c r="F17" s="214">
        <v>2019</v>
      </c>
      <c r="G17" s="214">
        <v>2020</v>
      </c>
      <c r="H17" s="214">
        <v>2021</v>
      </c>
      <c r="I17" s="214">
        <v>2022</v>
      </c>
      <c r="J17" s="214">
        <v>2023</v>
      </c>
      <c r="K17" s="214">
        <v>2024</v>
      </c>
      <c r="L17" s="214">
        <v>2025</v>
      </c>
    </row>
    <row r="18" spans="1:14" ht="66" customHeight="1" x14ac:dyDescent="0.25">
      <c r="A18" s="286" t="s">
        <v>215</v>
      </c>
      <c r="B18" s="287"/>
      <c r="C18" s="288"/>
      <c r="D18" s="288"/>
      <c r="E18" s="288"/>
      <c r="F18" s="289"/>
      <c r="G18" s="288"/>
      <c r="H18" s="288"/>
      <c r="I18" s="288"/>
      <c r="J18" s="288">
        <v>202</v>
      </c>
      <c r="K18" s="288"/>
      <c r="L18" s="288"/>
    </row>
    <row r="19" spans="1:14" ht="28.5" customHeight="1" x14ac:dyDescent="0.25">
      <c r="A19" s="290" t="s">
        <v>259</v>
      </c>
      <c r="B19" s="291"/>
      <c r="C19" s="292"/>
      <c r="D19" s="292"/>
      <c r="E19" s="292">
        <v>252840</v>
      </c>
      <c r="F19" s="292">
        <f>E19*(1+F10)</f>
        <v>252840</v>
      </c>
      <c r="G19" s="292">
        <f>F19*(1+G$4)</f>
        <v>252840</v>
      </c>
      <c r="H19" s="292">
        <f t="shared" ref="G19:L21" si="0">G19*(1+H$4)</f>
        <v>252840</v>
      </c>
      <c r="I19" s="292">
        <f t="shared" si="0"/>
        <v>252840</v>
      </c>
      <c r="J19" s="292">
        <f t="shared" si="0"/>
        <v>252840</v>
      </c>
      <c r="K19" s="292">
        <f t="shared" si="0"/>
        <v>252840</v>
      </c>
      <c r="L19" s="292">
        <f t="shared" si="0"/>
        <v>252840</v>
      </c>
    </row>
    <row r="20" spans="1:14" ht="16.5" customHeight="1" x14ac:dyDescent="0.25">
      <c r="A20" s="290" t="s">
        <v>260</v>
      </c>
      <c r="B20" s="291"/>
      <c r="C20" s="291"/>
      <c r="D20" s="291"/>
      <c r="E20" s="291">
        <v>267300</v>
      </c>
      <c r="F20" s="292">
        <f>E20*(1+F10)</f>
        <v>267300</v>
      </c>
      <c r="G20" s="291">
        <f>F20*(1+G$4)</f>
        <v>267300</v>
      </c>
      <c r="H20" s="291">
        <f t="shared" si="0"/>
        <v>267300</v>
      </c>
      <c r="I20" s="291">
        <f t="shared" si="0"/>
        <v>267300</v>
      </c>
      <c r="J20" s="291">
        <f t="shared" si="0"/>
        <v>267300</v>
      </c>
      <c r="K20" s="291">
        <f t="shared" si="0"/>
        <v>267300</v>
      </c>
      <c r="L20" s="291">
        <f t="shared" si="0"/>
        <v>267300</v>
      </c>
      <c r="M20" s="217"/>
    </row>
    <row r="21" spans="1:14" ht="15.75" x14ac:dyDescent="0.25">
      <c r="A21" s="290" t="s">
        <v>261</v>
      </c>
      <c r="B21" s="291"/>
      <c r="C21" s="291"/>
      <c r="D21" s="291"/>
      <c r="E21" s="291">
        <v>45000</v>
      </c>
      <c r="F21" s="291">
        <v>45000</v>
      </c>
      <c r="G21" s="291">
        <f t="shared" si="0"/>
        <v>45000</v>
      </c>
      <c r="H21" s="291">
        <f t="shared" si="0"/>
        <v>45000</v>
      </c>
      <c r="I21" s="291">
        <f t="shared" si="0"/>
        <v>45000</v>
      </c>
      <c r="J21" s="291">
        <f t="shared" si="0"/>
        <v>45000</v>
      </c>
      <c r="K21" s="291">
        <f t="shared" si="0"/>
        <v>45000</v>
      </c>
      <c r="L21" s="291">
        <f t="shared" si="0"/>
        <v>45000</v>
      </c>
    </row>
    <row r="22" spans="1:14" ht="15.75" x14ac:dyDescent="0.25">
      <c r="A22" s="290" t="s">
        <v>262</v>
      </c>
      <c r="B22" s="291"/>
      <c r="C22" s="291"/>
      <c r="D22" s="291"/>
      <c r="E22" s="291">
        <f t="shared" ref="E22:L25" si="1">D22</f>
        <v>0</v>
      </c>
      <c r="F22" s="291">
        <v>204160</v>
      </c>
      <c r="G22" s="291">
        <f t="shared" si="1"/>
        <v>204160</v>
      </c>
      <c r="H22" s="291">
        <f t="shared" si="1"/>
        <v>204160</v>
      </c>
      <c r="I22" s="291">
        <f t="shared" si="1"/>
        <v>204160</v>
      </c>
      <c r="J22" s="291">
        <f>I22</f>
        <v>204160</v>
      </c>
      <c r="K22" s="291">
        <f t="shared" si="1"/>
        <v>204160</v>
      </c>
      <c r="L22" s="291">
        <f t="shared" si="1"/>
        <v>204160</v>
      </c>
    </row>
    <row r="23" spans="1:14" ht="18.75" customHeight="1" x14ac:dyDescent="0.25">
      <c r="A23" s="293" t="s">
        <v>223</v>
      </c>
      <c r="B23" s="291"/>
      <c r="C23" s="291"/>
      <c r="D23" s="291"/>
      <c r="E23" s="291">
        <v>12000</v>
      </c>
      <c r="F23" s="291">
        <v>11504</v>
      </c>
      <c r="G23" s="291">
        <f t="shared" si="1"/>
        <v>11504</v>
      </c>
      <c r="H23" s="291">
        <f t="shared" si="1"/>
        <v>11504</v>
      </c>
      <c r="I23" s="291">
        <f t="shared" si="1"/>
        <v>11504</v>
      </c>
      <c r="J23" s="291">
        <f t="shared" si="1"/>
        <v>11504</v>
      </c>
      <c r="K23" s="291">
        <f t="shared" si="1"/>
        <v>11504</v>
      </c>
      <c r="L23" s="291">
        <f t="shared" si="1"/>
        <v>11504</v>
      </c>
    </row>
    <row r="24" spans="1:14" ht="15.75" x14ac:dyDescent="0.25">
      <c r="A24" s="293" t="s">
        <v>263</v>
      </c>
      <c r="B24" s="291"/>
      <c r="C24" s="291"/>
      <c r="D24" s="291"/>
      <c r="E24" s="291">
        <v>50000</v>
      </c>
      <c r="F24" s="291">
        <v>35000</v>
      </c>
      <c r="G24" s="291">
        <f t="shared" si="1"/>
        <v>35000</v>
      </c>
      <c r="H24" s="291">
        <f t="shared" si="1"/>
        <v>35000</v>
      </c>
      <c r="I24" s="291">
        <f t="shared" si="1"/>
        <v>35000</v>
      </c>
      <c r="J24" s="291">
        <f t="shared" si="1"/>
        <v>35000</v>
      </c>
      <c r="K24" s="291">
        <f t="shared" si="1"/>
        <v>35000</v>
      </c>
      <c r="L24" s="291">
        <f t="shared" si="1"/>
        <v>35000</v>
      </c>
    </row>
    <row r="25" spans="1:14" ht="15" customHeight="1" thickBot="1" x14ac:dyDescent="0.3">
      <c r="A25" s="294" t="s">
        <v>101</v>
      </c>
      <c r="B25" s="295"/>
      <c r="C25" s="295"/>
      <c r="D25" s="295"/>
      <c r="E25" s="295">
        <v>25916</v>
      </c>
      <c r="F25" s="295">
        <v>0</v>
      </c>
      <c r="G25" s="295">
        <f t="shared" si="1"/>
        <v>0</v>
      </c>
      <c r="H25" s="295">
        <f t="shared" si="1"/>
        <v>0</v>
      </c>
      <c r="I25" s="295">
        <f t="shared" si="1"/>
        <v>0</v>
      </c>
      <c r="J25" s="295">
        <f t="shared" si="1"/>
        <v>0</v>
      </c>
      <c r="K25" s="295">
        <f t="shared" si="1"/>
        <v>0</v>
      </c>
      <c r="L25" s="295">
        <f t="shared" si="1"/>
        <v>0</v>
      </c>
    </row>
    <row r="26" spans="1:14" ht="16.5" thickBot="1" x14ac:dyDescent="0.3">
      <c r="A26" s="281" t="s">
        <v>226</v>
      </c>
      <c r="B26" s="282"/>
      <c r="C26" s="282">
        <f t="shared" ref="C26:L26" si="2">SUM(C19:C25)</f>
        <v>0</v>
      </c>
      <c r="D26" s="282">
        <f t="shared" si="2"/>
        <v>0</v>
      </c>
      <c r="E26" s="282">
        <f t="shared" si="2"/>
        <v>653056</v>
      </c>
      <c r="F26" s="283">
        <f t="shared" si="2"/>
        <v>815804</v>
      </c>
      <c r="G26" s="282">
        <f t="shared" si="2"/>
        <v>815804</v>
      </c>
      <c r="H26" s="282">
        <f>SUM(H19:H25)</f>
        <v>815804</v>
      </c>
      <c r="I26" s="282">
        <f t="shared" si="2"/>
        <v>815804</v>
      </c>
      <c r="J26" s="282">
        <f t="shared" si="2"/>
        <v>815804</v>
      </c>
      <c r="K26" s="282">
        <f t="shared" si="2"/>
        <v>815804</v>
      </c>
      <c r="L26" s="284">
        <f t="shared" si="2"/>
        <v>815804</v>
      </c>
      <c r="M26" s="296"/>
      <c r="N26" s="296"/>
    </row>
    <row r="27" spans="1:14" ht="17.25" thickTop="1" thickBot="1" x14ac:dyDescent="0.3">
      <c r="A27" s="260" t="s">
        <v>229</v>
      </c>
      <c r="B27" s="260"/>
      <c r="C27" s="260">
        <f>C2</f>
        <v>236574</v>
      </c>
      <c r="D27" s="260"/>
      <c r="E27" s="260">
        <f>F2</f>
        <v>99654</v>
      </c>
      <c r="F27" s="260"/>
      <c r="G27" s="260">
        <f>I2</f>
        <v>145443</v>
      </c>
      <c r="H27" s="260"/>
      <c r="I27" s="260"/>
      <c r="J27" s="260"/>
      <c r="K27" s="260"/>
      <c r="L27" s="260"/>
    </row>
    <row r="28" spans="1:14" ht="16.5" thickTop="1" x14ac:dyDescent="0.25">
      <c r="A28" s="266" t="s">
        <v>251</v>
      </c>
      <c r="B28" s="276"/>
      <c r="C28" s="276"/>
      <c r="D28" s="276">
        <v>2017</v>
      </c>
      <c r="E28" s="274">
        <v>2018</v>
      </c>
      <c r="F28" s="273">
        <v>2019</v>
      </c>
      <c r="G28" s="273">
        <v>2020</v>
      </c>
      <c r="H28" s="273">
        <v>2021</v>
      </c>
      <c r="I28" s="273">
        <v>2022</v>
      </c>
      <c r="J28" s="273">
        <v>2023</v>
      </c>
      <c r="K28" s="275">
        <v>2024</v>
      </c>
      <c r="L28" s="275">
        <v>2025</v>
      </c>
    </row>
    <row r="29" spans="1:14" ht="15.75" x14ac:dyDescent="0.25">
      <c r="A29" s="267" t="s">
        <v>252</v>
      </c>
      <c r="B29" s="268"/>
      <c r="C29" s="268"/>
      <c r="D29" s="268"/>
      <c r="E29" s="268"/>
      <c r="F29" s="268"/>
      <c r="G29" s="268"/>
      <c r="H29" s="268"/>
      <c r="I29" s="268"/>
      <c r="J29" s="268"/>
      <c r="K29" s="268"/>
      <c r="L29" s="268"/>
    </row>
    <row r="30" spans="1:14" ht="15.75" x14ac:dyDescent="0.25">
      <c r="A30" s="267" t="s">
        <v>253</v>
      </c>
      <c r="B30" s="269"/>
      <c r="C30" s="269"/>
      <c r="D30" s="269"/>
      <c r="E30" s="269">
        <v>0</v>
      </c>
      <c r="F30" s="269"/>
      <c r="G30" s="269"/>
      <c r="H30" s="269"/>
      <c r="I30" s="269">
        <v>600000</v>
      </c>
      <c r="J30" s="269"/>
      <c r="K30" s="269"/>
      <c r="L30" s="269"/>
    </row>
    <row r="31" spans="1:14" ht="15.75" x14ac:dyDescent="0.25">
      <c r="A31" s="267" t="s">
        <v>254</v>
      </c>
      <c r="B31" s="269"/>
      <c r="C31" s="269"/>
      <c r="D31" s="269"/>
      <c r="E31" s="269"/>
      <c r="F31" s="269"/>
      <c r="G31" s="269"/>
      <c r="H31" s="269"/>
      <c r="I31" s="269">
        <v>-350000</v>
      </c>
      <c r="J31" s="269"/>
      <c r="K31" s="269"/>
      <c r="L31" s="269"/>
    </row>
    <row r="32" spans="1:14" ht="15.75" x14ac:dyDescent="0.25">
      <c r="A32" s="267" t="s">
        <v>255</v>
      </c>
      <c r="B32" s="269"/>
      <c r="C32" s="269"/>
      <c r="D32" s="269"/>
      <c r="E32" s="269"/>
      <c r="F32" s="269"/>
      <c r="G32" s="269"/>
      <c r="H32" s="269"/>
      <c r="I32" s="269">
        <v>-150000</v>
      </c>
      <c r="J32" s="269"/>
      <c r="K32" s="269"/>
      <c r="L32" s="269"/>
    </row>
    <row r="33" spans="1:19" ht="15.75" x14ac:dyDescent="0.25">
      <c r="A33" s="267" t="s">
        <v>256</v>
      </c>
      <c r="B33" s="269"/>
      <c r="C33" s="269"/>
      <c r="D33" s="269"/>
      <c r="E33" s="269"/>
      <c r="F33" s="269"/>
      <c r="G33" s="269"/>
      <c r="H33" s="269"/>
      <c r="I33" s="269"/>
      <c r="J33" s="269">
        <v>-100000</v>
      </c>
      <c r="K33" s="269"/>
      <c r="L33" s="269"/>
    </row>
    <row r="34" spans="1:19" ht="15.75" x14ac:dyDescent="0.25">
      <c r="A34" s="267"/>
      <c r="B34" s="269"/>
      <c r="C34" s="269"/>
      <c r="D34" s="269"/>
      <c r="E34" s="269"/>
      <c r="F34" s="269"/>
      <c r="G34" s="269"/>
      <c r="H34" s="269"/>
      <c r="I34" s="269"/>
      <c r="J34" s="269"/>
      <c r="K34" s="269"/>
      <c r="L34" s="269"/>
    </row>
    <row r="35" spans="1:19" ht="16.5" thickBot="1" x14ac:dyDescent="0.3">
      <c r="A35" s="270" t="s">
        <v>257</v>
      </c>
      <c r="B35" s="271"/>
      <c r="C35" s="272"/>
      <c r="D35" s="272"/>
      <c r="E35" s="272">
        <v>-25000</v>
      </c>
      <c r="F35" s="272">
        <v>-26250</v>
      </c>
      <c r="G35" s="272">
        <v>-27562.5</v>
      </c>
      <c r="H35" s="272">
        <v>-28940.625</v>
      </c>
      <c r="I35" s="272">
        <v>-30387.65625</v>
      </c>
      <c r="J35" s="272">
        <v>-31907.0390625</v>
      </c>
      <c r="K35" s="272">
        <v>-33502.391015624999</v>
      </c>
      <c r="L35" s="272">
        <v>-35177.51056640625</v>
      </c>
    </row>
    <row r="36" spans="1:19" ht="16.5" thickTop="1" x14ac:dyDescent="0.25">
      <c r="A36" s="261" t="s">
        <v>258</v>
      </c>
      <c r="B36" s="262">
        <v>0</v>
      </c>
      <c r="C36" s="263">
        <v>0</v>
      </c>
      <c r="D36" s="263">
        <v>-25000</v>
      </c>
      <c r="E36" s="263">
        <v>-26250</v>
      </c>
      <c r="F36" s="264">
        <v>-27562.5</v>
      </c>
      <c r="G36" s="263">
        <v>-28940.625</v>
      </c>
      <c r="H36" s="263">
        <v>69612.34375</v>
      </c>
      <c r="I36" s="263">
        <v>-131907.0390625</v>
      </c>
      <c r="J36" s="263">
        <v>-33502.391015624999</v>
      </c>
      <c r="K36" s="263">
        <v>-35177.51056640625</v>
      </c>
      <c r="L36" s="265">
        <v>-36936.386094726564</v>
      </c>
    </row>
    <row r="37" spans="1:19" ht="15.75" x14ac:dyDescent="0.25">
      <c r="A37" s="227" t="s">
        <v>230</v>
      </c>
      <c r="B37" s="230" t="s">
        <v>232</v>
      </c>
      <c r="C37" s="212" t="s">
        <v>232</v>
      </c>
      <c r="D37" s="200" t="s">
        <v>232</v>
      </c>
      <c r="E37" s="200" t="s">
        <v>232</v>
      </c>
      <c r="F37" s="212"/>
      <c r="G37" s="221">
        <f>C46/5</f>
        <v>0</v>
      </c>
      <c r="H37" s="200"/>
      <c r="I37" s="209">
        <f>C46/5</f>
        <v>0</v>
      </c>
      <c r="J37" s="212"/>
      <c r="K37" s="212">
        <f>C46/5</f>
        <v>0</v>
      </c>
      <c r="L37" s="200"/>
      <c r="M37" s="200">
        <f>C46/5</f>
        <v>0</v>
      </c>
      <c r="N37" s="212"/>
      <c r="O37" s="231"/>
      <c r="P37" s="229"/>
      <c r="Q37" s="200"/>
      <c r="R37" s="200"/>
      <c r="S37" s="212"/>
    </row>
    <row r="38" spans="1:19" ht="15.75" x14ac:dyDescent="0.25">
      <c r="A38" s="228" t="s">
        <v>233</v>
      </c>
      <c r="B38" s="230">
        <v>0</v>
      </c>
      <c r="C38" s="212">
        <v>-51417.46</v>
      </c>
      <c r="D38" s="200">
        <v>0</v>
      </c>
      <c r="E38" s="200">
        <v>0</v>
      </c>
      <c r="F38" s="218">
        <v>0</v>
      </c>
      <c r="G38" s="212">
        <v>-51417</v>
      </c>
      <c r="H38" s="200"/>
      <c r="I38" s="212">
        <v>-51417</v>
      </c>
      <c r="J38" s="212"/>
      <c r="K38" s="212">
        <v>-51417</v>
      </c>
      <c r="L38" s="200"/>
      <c r="M38" s="212">
        <v>-51417</v>
      </c>
      <c r="N38" s="212"/>
      <c r="O38" s="212">
        <v>-51417</v>
      </c>
      <c r="P38" s="229"/>
      <c r="Q38" s="200"/>
      <c r="R38" s="200"/>
      <c r="S38" s="212"/>
    </row>
    <row r="39" spans="1:19" ht="15.75" x14ac:dyDescent="0.25">
      <c r="A39" s="228" t="s">
        <v>234</v>
      </c>
      <c r="B39" s="230">
        <v>0</v>
      </c>
      <c r="C39" s="212" t="e">
        <f>-'2022 Approved'!#REF!</f>
        <v>#REF!</v>
      </c>
      <c r="D39" s="200">
        <v>0</v>
      </c>
      <c r="E39" s="200">
        <v>0</v>
      </c>
      <c r="F39" s="218">
        <v>0</v>
      </c>
      <c r="G39" s="212">
        <v>-48441</v>
      </c>
      <c r="H39" s="200"/>
      <c r="I39" s="212">
        <v>-48441</v>
      </c>
      <c r="J39" s="212"/>
      <c r="K39" s="212">
        <v>-48441</v>
      </c>
      <c r="L39" s="200"/>
      <c r="M39" s="212">
        <v>-48441</v>
      </c>
      <c r="N39" s="212"/>
      <c r="O39" s="212">
        <v>-48441</v>
      </c>
      <c r="P39" s="229"/>
      <c r="Q39" s="200"/>
      <c r="R39" s="200"/>
      <c r="S39" s="212"/>
    </row>
    <row r="40" spans="1:19" ht="15.75" x14ac:dyDescent="0.25">
      <c r="A40" s="228" t="s">
        <v>236</v>
      </c>
      <c r="B40" s="230"/>
      <c r="C40" s="212"/>
      <c r="D40" s="200"/>
      <c r="E40" s="200"/>
      <c r="F40" s="223">
        <v>2</v>
      </c>
      <c r="G40" s="219">
        <f>F40*12*1446</f>
        <v>34704</v>
      </c>
      <c r="H40" s="220">
        <v>2.5</v>
      </c>
      <c r="I40" s="200">
        <f>H40*12*1446</f>
        <v>43380</v>
      </c>
      <c r="J40" s="221">
        <v>2.5</v>
      </c>
      <c r="K40" s="212">
        <f>J40*12*1446</f>
        <v>43380</v>
      </c>
      <c r="L40" s="209">
        <v>3.5</v>
      </c>
      <c r="M40" s="200">
        <f>L40*12*1446</f>
        <v>60732</v>
      </c>
      <c r="N40" s="221">
        <v>3</v>
      </c>
      <c r="O40" s="231">
        <f>N40*12*1446</f>
        <v>52056</v>
      </c>
      <c r="P40" s="229"/>
      <c r="Q40" s="200"/>
      <c r="R40" s="200"/>
      <c r="S40" s="212"/>
    </row>
    <row r="41" spans="1:19" ht="15.75" x14ac:dyDescent="0.25">
      <c r="A41" s="228" t="s">
        <v>235</v>
      </c>
      <c r="B41" s="230"/>
      <c r="C41" s="212"/>
      <c r="D41" s="200"/>
      <c r="E41" s="200"/>
      <c r="F41" s="223">
        <v>2.5</v>
      </c>
      <c r="G41" s="219">
        <f>F41*12*888</f>
        <v>26640</v>
      </c>
      <c r="H41" s="220">
        <v>2</v>
      </c>
      <c r="I41" s="200">
        <f>H41*12*888</f>
        <v>21312</v>
      </c>
      <c r="J41" s="221">
        <v>3</v>
      </c>
      <c r="K41" s="212">
        <f>J41*12*888</f>
        <v>31968</v>
      </c>
      <c r="L41" s="209">
        <v>3</v>
      </c>
      <c r="M41" s="200">
        <f>L41*12*888</f>
        <v>31968</v>
      </c>
      <c r="N41" s="221">
        <v>3.5</v>
      </c>
      <c r="O41" s="231">
        <f>N41*12*888</f>
        <v>37296</v>
      </c>
      <c r="P41" s="229"/>
      <c r="Q41" s="200"/>
      <c r="R41" s="200"/>
      <c r="S41" s="212"/>
    </row>
    <row r="42" spans="1:19" ht="15.75" x14ac:dyDescent="0.25">
      <c r="A42" s="228" t="s">
        <v>237</v>
      </c>
      <c r="B42" s="230"/>
      <c r="C42" s="212"/>
      <c r="D42" s="200">
        <f>(46351/888)/12</f>
        <v>4.3497560060060065</v>
      </c>
      <c r="E42" s="200"/>
      <c r="F42" s="212"/>
      <c r="G42" s="219"/>
      <c r="H42" s="200"/>
      <c r="I42" s="200"/>
      <c r="J42" s="212"/>
      <c r="K42" s="212"/>
      <c r="L42" s="200"/>
      <c r="M42" s="200"/>
      <c r="N42" s="212" t="s">
        <v>248</v>
      </c>
      <c r="O42" s="231"/>
      <c r="P42" s="229"/>
      <c r="Q42" s="200"/>
      <c r="R42" s="200"/>
      <c r="S42" s="212"/>
    </row>
    <row r="43" spans="1:19" ht="15.75" x14ac:dyDescent="0.25">
      <c r="A43" s="227" t="s">
        <v>246</v>
      </c>
      <c r="B43" s="230"/>
      <c r="C43" s="212" t="e">
        <f>SUM(C37:C40)</f>
        <v>#REF!</v>
      </c>
      <c r="D43" s="200"/>
      <c r="E43" s="200"/>
      <c r="F43" s="212"/>
      <c r="G43" s="212"/>
      <c r="H43" s="200"/>
      <c r="I43" s="200"/>
      <c r="J43" s="212"/>
      <c r="K43" s="212"/>
      <c r="L43" s="200"/>
      <c r="M43" s="200"/>
      <c r="N43" s="212"/>
      <c r="O43" s="231"/>
      <c r="P43" s="229"/>
      <c r="Q43" s="200"/>
      <c r="R43" s="200"/>
      <c r="S43" s="212"/>
    </row>
    <row r="44" spans="1:19" ht="16.5" thickBot="1" x14ac:dyDescent="0.3">
      <c r="A44" s="228" t="s">
        <v>247</v>
      </c>
      <c r="B44" s="232"/>
      <c r="C44" s="233"/>
      <c r="D44" s="234"/>
      <c r="E44" s="234"/>
      <c r="F44" s="235">
        <f t="shared" ref="F44:L44" si="3">SUM(F40:F43)</f>
        <v>4.5</v>
      </c>
      <c r="G44" s="235">
        <f t="shared" si="3"/>
        <v>61344</v>
      </c>
      <c r="H44" s="236">
        <f t="shared" si="3"/>
        <v>4.5</v>
      </c>
      <c r="I44" s="236">
        <f t="shared" si="3"/>
        <v>64692</v>
      </c>
      <c r="J44" s="235">
        <f t="shared" si="3"/>
        <v>5.5</v>
      </c>
      <c r="K44" s="235">
        <f t="shared" si="3"/>
        <v>75348</v>
      </c>
      <c r="L44" s="236">
        <f t="shared" si="3"/>
        <v>6.5</v>
      </c>
      <c r="M44" s="236">
        <f>SUM(M40:M43)</f>
        <v>92700</v>
      </c>
      <c r="N44" s="235">
        <f>SUM(N40:N43)</f>
        <v>6.5</v>
      </c>
      <c r="O44" s="237">
        <f>SUM(O40:O43)</f>
        <v>89352</v>
      </c>
      <c r="P44" s="238">
        <f>O44+M44+K44+I44+G44</f>
        <v>383436</v>
      </c>
      <c r="Q44" s="200"/>
      <c r="R44" s="200"/>
      <c r="S44" s="212"/>
    </row>
    <row r="45" spans="1:19" ht="17.25" thickTop="1" thickBot="1" x14ac:dyDescent="0.3">
      <c r="A45" s="233" t="s">
        <v>228</v>
      </c>
      <c r="B45" s="233">
        <f>C2+F2+I2</f>
        <v>481671</v>
      </c>
    </row>
    <row r="46" spans="1:19" ht="17.25" thickTop="1" thickBot="1" x14ac:dyDescent="0.3">
      <c r="A46" s="233" t="s">
        <v>246</v>
      </c>
      <c r="B46" s="239" t="e">
        <f>C43</f>
        <v>#REF!</v>
      </c>
      <c r="C46" s="222"/>
      <c r="E46" s="116" t="e">
        <f>'2022 Approved'!#REF!-'2022 Approved'!#REF!</f>
        <v>#REF!</v>
      </c>
    </row>
    <row r="47" spans="1:19" ht="17.25" thickTop="1" thickBot="1" x14ac:dyDescent="0.3">
      <c r="A47" s="233" t="s">
        <v>249</v>
      </c>
      <c r="B47" s="233" t="e">
        <f>SUM(B45:B46)</f>
        <v>#REF!</v>
      </c>
    </row>
    <row r="48" spans="1:19" ht="17.25" thickTop="1" thickBot="1" x14ac:dyDescent="0.3">
      <c r="A48" s="233" t="s">
        <v>250</v>
      </c>
      <c r="B48" s="233">
        <f>G44+I44+K44+M44+O44</f>
        <v>383436</v>
      </c>
      <c r="D48" s="116"/>
      <c r="F48" s="217"/>
      <c r="G48" s="240">
        <f>G44+I44+K44+M44+O44</f>
        <v>383436</v>
      </c>
      <c r="I48">
        <f>400000+75000+75000+75000+150000</f>
        <v>775000</v>
      </c>
    </row>
    <row r="49" spans="1:12" ht="15.75" thickTop="1" x14ac:dyDescent="0.25"/>
    <row r="53" spans="1:12" ht="15.75" x14ac:dyDescent="0.25">
      <c r="A53" s="241" t="s">
        <v>251</v>
      </c>
      <c r="B53" s="242"/>
      <c r="C53" s="242"/>
      <c r="D53" s="242"/>
      <c r="E53" s="242"/>
      <c r="F53" s="243"/>
      <c r="G53" s="242"/>
      <c r="H53" s="242"/>
      <c r="I53" s="242"/>
      <c r="J53" s="242"/>
      <c r="K53" s="242"/>
      <c r="L53" s="244"/>
    </row>
    <row r="54" spans="1:12" ht="15.75" x14ac:dyDescent="0.25">
      <c r="A54" s="245" t="s">
        <v>252</v>
      </c>
      <c r="B54" s="246"/>
      <c r="C54" s="246"/>
      <c r="D54" s="246"/>
      <c r="E54" s="246"/>
      <c r="F54" s="247"/>
      <c r="G54" s="246"/>
      <c r="H54" s="246"/>
      <c r="I54" s="246"/>
      <c r="J54" s="246"/>
      <c r="K54" s="246"/>
      <c r="L54" s="248"/>
    </row>
    <row r="55" spans="1:12" ht="15.75" x14ac:dyDescent="0.25">
      <c r="A55" s="245" t="s">
        <v>253</v>
      </c>
      <c r="B55" s="249"/>
      <c r="C55" s="249"/>
      <c r="D55" s="249">
        <v>0</v>
      </c>
      <c r="E55" s="249"/>
      <c r="F55" s="250"/>
      <c r="G55" s="249"/>
      <c r="H55" s="249">
        <v>600000</v>
      </c>
      <c r="I55" s="249"/>
      <c r="J55" s="249"/>
      <c r="K55" s="249"/>
      <c r="L55" s="251"/>
    </row>
    <row r="56" spans="1:12" ht="15.75" x14ac:dyDescent="0.25">
      <c r="A56" s="245" t="s">
        <v>254</v>
      </c>
      <c r="B56" s="249"/>
      <c r="C56" s="249"/>
      <c r="D56" s="249"/>
      <c r="E56" s="249"/>
      <c r="F56" s="250"/>
      <c r="G56" s="249"/>
      <c r="H56" s="249">
        <v>-350000</v>
      </c>
      <c r="I56" s="249"/>
      <c r="J56" s="249"/>
      <c r="K56" s="249"/>
      <c r="L56" s="251"/>
    </row>
    <row r="57" spans="1:12" ht="15.75" x14ac:dyDescent="0.25">
      <c r="A57" s="245" t="s">
        <v>255</v>
      </c>
      <c r="B57" s="249"/>
      <c r="C57" s="249"/>
      <c r="D57" s="249"/>
      <c r="E57" s="249"/>
      <c r="F57" s="250"/>
      <c r="G57" s="249"/>
      <c r="H57" s="249">
        <v>-150000</v>
      </c>
      <c r="I57" s="249"/>
      <c r="J57" s="249"/>
      <c r="K57" s="249"/>
      <c r="L57" s="251"/>
    </row>
    <row r="58" spans="1:12" ht="15.75" x14ac:dyDescent="0.25">
      <c r="A58" s="245" t="s">
        <v>256</v>
      </c>
      <c r="B58" s="249"/>
      <c r="C58" s="249"/>
      <c r="D58" s="249"/>
      <c r="E58" s="249"/>
      <c r="F58" s="250"/>
      <c r="G58" s="249"/>
      <c r="H58" s="249"/>
      <c r="I58" s="249">
        <v>-100000</v>
      </c>
      <c r="J58" s="249"/>
      <c r="K58" s="249"/>
      <c r="L58" s="251"/>
    </row>
    <row r="59" spans="1:12" ht="15.75" x14ac:dyDescent="0.25">
      <c r="A59" s="245"/>
      <c r="B59" s="249"/>
      <c r="C59" s="249"/>
      <c r="D59" s="249"/>
      <c r="E59" s="249"/>
      <c r="F59" s="250"/>
      <c r="G59" s="249"/>
      <c r="H59" s="249"/>
      <c r="I59" s="249"/>
      <c r="J59" s="249"/>
      <c r="K59" s="249"/>
      <c r="L59" s="251"/>
    </row>
    <row r="60" spans="1:12" ht="15.75" x14ac:dyDescent="0.25">
      <c r="A60" s="245" t="s">
        <v>257</v>
      </c>
      <c r="B60" s="249"/>
      <c r="C60" s="252"/>
      <c r="D60" s="252">
        <v>-25000</v>
      </c>
      <c r="E60" s="252">
        <v>-26250</v>
      </c>
      <c r="F60" s="253">
        <v>-27562.5</v>
      </c>
      <c r="G60" s="252">
        <v>-28940.625</v>
      </c>
      <c r="H60" s="252">
        <v>-30387.65625</v>
      </c>
      <c r="I60" s="252">
        <v>-31907.0390625</v>
      </c>
      <c r="J60" s="252">
        <v>-33502.391015624999</v>
      </c>
      <c r="K60" s="252">
        <v>-35177.51056640625</v>
      </c>
      <c r="L60" s="254">
        <v>-36936.386094726564</v>
      </c>
    </row>
    <row r="61" spans="1:12" ht="15.75" x14ac:dyDescent="0.25">
      <c r="A61" s="255" t="s">
        <v>258</v>
      </c>
      <c r="B61" s="256">
        <v>0</v>
      </c>
      <c r="C61" s="257">
        <v>0</v>
      </c>
      <c r="D61" s="257">
        <v>-25000</v>
      </c>
      <c r="E61" s="257">
        <v>-26250</v>
      </c>
      <c r="F61" s="258">
        <v>-27562.5</v>
      </c>
      <c r="G61" s="257">
        <v>-28940.625</v>
      </c>
      <c r="H61" s="257">
        <v>69612.34375</v>
      </c>
      <c r="I61" s="257">
        <v>-131907.0390625</v>
      </c>
      <c r="J61" s="257">
        <v>-33502.391015624999</v>
      </c>
      <c r="K61" s="257">
        <v>-35177.51056640625</v>
      </c>
      <c r="L61" s="259">
        <v>-36936.386094726564</v>
      </c>
    </row>
  </sheetData>
  <pageMargins left="0.7" right="0.7" top="0.75" bottom="0.75" header="0.3" footer="0.3"/>
  <pageSetup paperSize="5" scale="5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1116-BB6D-4D4E-9925-118F5050C75E}">
  <dimension ref="A1:Q33"/>
  <sheetViews>
    <sheetView zoomScale="130" zoomScaleNormal="130" workbookViewId="0">
      <selection activeCell="E31" sqref="E31"/>
    </sheetView>
  </sheetViews>
  <sheetFormatPr defaultRowHeight="15" x14ac:dyDescent="0.25"/>
  <cols>
    <col min="1" max="1" width="16.140625" customWidth="1"/>
    <col min="2" max="2" width="10.42578125" customWidth="1"/>
    <col min="3" max="3" width="17.7109375" bestFit="1" customWidth="1"/>
    <col min="4" max="4" width="21.85546875" customWidth="1"/>
    <col min="5" max="5" width="28.5703125" customWidth="1"/>
    <col min="6" max="6" width="13.28515625" bestFit="1" customWidth="1"/>
    <col min="7" max="7" width="13.85546875" customWidth="1"/>
    <col min="8" max="8" width="17.85546875" bestFit="1" customWidth="1"/>
    <col min="9" max="9" width="12.28515625" bestFit="1" customWidth="1"/>
    <col min="10" max="10" width="15.42578125" bestFit="1" customWidth="1"/>
    <col min="11" max="11" width="15.42578125" customWidth="1"/>
    <col min="12" max="12" width="14.140625" customWidth="1"/>
    <col min="13" max="13" width="11.140625" customWidth="1"/>
    <col min="14" max="14" width="14.7109375" customWidth="1"/>
    <col min="15" max="15" width="16" customWidth="1"/>
    <col min="16" max="16" width="20.140625" customWidth="1"/>
    <col min="17" max="17" width="15.140625" customWidth="1"/>
  </cols>
  <sheetData>
    <row r="1" spans="1:17" ht="15.75" x14ac:dyDescent="0.25">
      <c r="A1" s="61"/>
      <c r="B1" s="184"/>
      <c r="C1" s="184"/>
      <c r="D1" s="783" t="s">
        <v>546</v>
      </c>
      <c r="E1" s="184"/>
      <c r="F1" s="62"/>
      <c r="G1" s="184"/>
      <c r="H1" s="184"/>
      <c r="I1" s="783"/>
      <c r="J1" s="783"/>
      <c r="K1" s="783"/>
      <c r="L1" s="783"/>
      <c r="M1" s="783"/>
      <c r="N1" s="783"/>
      <c r="O1" s="783"/>
      <c r="P1" s="783"/>
    </row>
    <row r="2" spans="1:17" ht="31.5" x14ac:dyDescent="0.25">
      <c r="A2" s="64"/>
      <c r="B2" s="783"/>
      <c r="C2" s="783" t="s">
        <v>150</v>
      </c>
      <c r="D2" s="784" t="s">
        <v>154</v>
      </c>
      <c r="E2" s="954" t="s">
        <v>176</v>
      </c>
      <c r="F2" s="955" t="s">
        <v>542</v>
      </c>
      <c r="G2" s="126" t="s">
        <v>178</v>
      </c>
      <c r="H2" s="126" t="s">
        <v>544</v>
      </c>
      <c r="I2" s="784" t="s">
        <v>155</v>
      </c>
      <c r="J2" s="784" t="s">
        <v>156</v>
      </c>
      <c r="K2" s="783" t="s">
        <v>157</v>
      </c>
      <c r="L2" s="951" t="s">
        <v>538</v>
      </c>
      <c r="M2" s="783" t="s">
        <v>159</v>
      </c>
      <c r="N2" s="783" t="s">
        <v>543</v>
      </c>
      <c r="O2" s="783" t="s">
        <v>160</v>
      </c>
      <c r="P2" s="783" t="s">
        <v>179</v>
      </c>
    </row>
    <row r="3" spans="1:17" ht="16.5" thickBot="1" x14ac:dyDescent="0.3">
      <c r="A3" s="64" t="s">
        <v>151</v>
      </c>
      <c r="B3" s="783" t="s">
        <v>152</v>
      </c>
      <c r="C3" s="784" t="s">
        <v>153</v>
      </c>
      <c r="D3" s="784"/>
      <c r="E3" s="954"/>
      <c r="F3" s="956"/>
      <c r="G3" s="126"/>
      <c r="H3" s="126"/>
      <c r="I3" s="784"/>
      <c r="J3" s="784"/>
      <c r="K3" s="783"/>
      <c r="L3" s="783"/>
      <c r="M3" s="783"/>
      <c r="N3" s="783"/>
      <c r="O3" s="783"/>
      <c r="P3" s="783"/>
      <c r="Q3" s="116"/>
    </row>
    <row r="4" spans="1:17" ht="15.75" thickTop="1" x14ac:dyDescent="0.25">
      <c r="A4" s="950" t="s">
        <v>161</v>
      </c>
      <c r="B4" s="128">
        <v>27</v>
      </c>
      <c r="C4" s="129">
        <f>E26</f>
        <v>52.825499999999998</v>
      </c>
      <c r="D4" s="130">
        <f>C4*2080</f>
        <v>109877.04</v>
      </c>
      <c r="E4" s="131">
        <f>155*C4*1.5</f>
        <v>12281.928749999999</v>
      </c>
      <c r="F4" s="131">
        <f>52/3*250</f>
        <v>4333.333333333333</v>
      </c>
      <c r="G4" s="131">
        <f t="shared" ref="G4:G9" si="0">SUM(D4:F4)</f>
        <v>126492.30208333333</v>
      </c>
      <c r="H4" s="131"/>
      <c r="I4" s="132">
        <f>G4*F18</f>
        <v>23363.128194791665</v>
      </c>
      <c r="J4" s="130">
        <f>1839.14*12</f>
        <v>22069.68</v>
      </c>
      <c r="K4" s="130">
        <f>G4*B18</f>
        <v>4047.7536666666665</v>
      </c>
      <c r="L4" s="130">
        <f>G4*D18</f>
        <v>7842.5227291666661</v>
      </c>
      <c r="M4" s="130">
        <f>G4*E18</f>
        <v>1834.1383802083333</v>
      </c>
      <c r="N4" s="130">
        <v>420</v>
      </c>
      <c r="O4" s="130">
        <f>G4*G18</f>
        <v>379.47690625000001</v>
      </c>
      <c r="P4" s="133">
        <f>SUM(G4:O4)</f>
        <v>186449.00196041664</v>
      </c>
      <c r="Q4" s="116"/>
    </row>
    <row r="5" spans="1:17" ht="15.75" thickBot="1" x14ac:dyDescent="0.3">
      <c r="A5" s="949" t="s">
        <v>163</v>
      </c>
      <c r="B5" s="112">
        <v>12</v>
      </c>
      <c r="C5" s="113">
        <f>E27</f>
        <v>40.624249999999996</v>
      </c>
      <c r="D5" s="114">
        <f>C5*2080</f>
        <v>84498.439999999988</v>
      </c>
      <c r="E5" s="134">
        <f>80*C5*1.5</f>
        <v>4874.91</v>
      </c>
      <c r="F5" s="134">
        <f>52/3*250</f>
        <v>4333.333333333333</v>
      </c>
      <c r="G5" s="134">
        <f t="shared" si="0"/>
        <v>93706.68333333332</v>
      </c>
      <c r="H5" s="134"/>
      <c r="I5" s="115">
        <f>G5*F19</f>
        <v>15639.645448333331</v>
      </c>
      <c r="J5" s="114">
        <f>1347*12</f>
        <v>16164</v>
      </c>
      <c r="K5" s="114">
        <f>D5*B20</f>
        <v>2703.9500799999996</v>
      </c>
      <c r="L5" s="114">
        <f>G5*D19</f>
        <v>5809.8143666666656</v>
      </c>
      <c r="M5" s="114">
        <f>G5*E19</f>
        <v>1358.7469083333333</v>
      </c>
      <c r="N5" s="114">
        <v>420</v>
      </c>
      <c r="O5" s="114">
        <f>G5*G19</f>
        <v>281.12004999999999</v>
      </c>
      <c r="P5" s="135">
        <f>SUM(G5:O5)</f>
        <v>136083.96018666663</v>
      </c>
      <c r="Q5" s="116"/>
    </row>
    <row r="6" spans="1:17" ht="48" thickTop="1" x14ac:dyDescent="0.25">
      <c r="A6" s="949" t="s">
        <v>485</v>
      </c>
      <c r="B6" s="112">
        <v>1</v>
      </c>
      <c r="C6" s="113">
        <f>E28</f>
        <v>32.357500000000002</v>
      </c>
      <c r="D6" s="114">
        <f>C6*2080</f>
        <v>67303.600000000006</v>
      </c>
      <c r="E6" s="970">
        <f>80*C6*1.5</f>
        <v>3882.9000000000005</v>
      </c>
      <c r="F6" s="134">
        <f>52/3*250</f>
        <v>4333.333333333333</v>
      </c>
      <c r="G6" s="134">
        <f t="shared" si="0"/>
        <v>75519.833333333328</v>
      </c>
      <c r="H6" s="134"/>
      <c r="I6" s="115">
        <f>G6*F20</f>
        <v>12604.260183333332</v>
      </c>
      <c r="J6" s="114">
        <f>1839.14*12</f>
        <v>22069.68</v>
      </c>
      <c r="K6" s="114">
        <f t="shared" ref="K6" si="1">G6*B20</f>
        <v>2416.6346666666664</v>
      </c>
      <c r="L6" s="114">
        <f>G6*D20</f>
        <v>4682.2296666666662</v>
      </c>
      <c r="M6" s="114">
        <f>G6*E20</f>
        <v>1095.0375833333333</v>
      </c>
      <c r="N6" s="114">
        <v>420</v>
      </c>
      <c r="O6" s="114">
        <f>G6*G20</f>
        <v>226.55949999999999</v>
      </c>
      <c r="P6" s="135">
        <f>SUM(G6:O6)</f>
        <v>119034.23493333334</v>
      </c>
      <c r="Q6" s="952" t="s">
        <v>181</v>
      </c>
    </row>
    <row r="7" spans="1:17" ht="15.75" x14ac:dyDescent="0.25">
      <c r="A7" s="949" t="s">
        <v>203</v>
      </c>
      <c r="B7" s="112">
        <v>2</v>
      </c>
      <c r="C7" s="113">
        <f>E29</f>
        <v>28.478999999999999</v>
      </c>
      <c r="D7" s="114">
        <f>C7*2080</f>
        <v>59236.32</v>
      </c>
      <c r="E7" s="134"/>
      <c r="F7" s="134"/>
      <c r="G7" s="134">
        <f t="shared" si="0"/>
        <v>59236.32</v>
      </c>
      <c r="H7" s="134"/>
      <c r="I7" s="115">
        <f>G7*F21</f>
        <v>9886.5418079999999</v>
      </c>
      <c r="J7" s="114">
        <f>1839.14*12</f>
        <v>22069.68</v>
      </c>
      <c r="K7" s="114">
        <f t="shared" ref="K7" si="2">D7*B22</f>
        <v>1895.56224</v>
      </c>
      <c r="L7" s="114">
        <f>G7*D21</f>
        <v>3672.65184</v>
      </c>
      <c r="M7" s="114">
        <f>G7*E21</f>
        <v>858.92664000000002</v>
      </c>
      <c r="N7" s="114">
        <v>420</v>
      </c>
      <c r="O7" s="114">
        <f>G7*G21</f>
        <v>177.70895999999999</v>
      </c>
      <c r="P7" s="135">
        <f>SUM(G7:O7)</f>
        <v>98217.391488000023</v>
      </c>
      <c r="Q7" s="194"/>
    </row>
    <row r="8" spans="1:17" ht="15.75" thickBot="1" x14ac:dyDescent="0.3">
      <c r="A8" s="949" t="s">
        <v>486</v>
      </c>
      <c r="B8" s="112">
        <v>2</v>
      </c>
      <c r="C8" s="113">
        <f>E30</f>
        <v>22.593999999999998</v>
      </c>
      <c r="D8" s="114">
        <f>C8*2080</f>
        <v>46995.519999999997</v>
      </c>
      <c r="E8" s="134"/>
      <c r="F8" s="134"/>
      <c r="G8" s="134">
        <f t="shared" si="0"/>
        <v>46995.519999999997</v>
      </c>
      <c r="H8" s="134"/>
      <c r="I8" s="115">
        <f>G8*F22</f>
        <v>7843.552287999999</v>
      </c>
      <c r="J8" s="114">
        <f>1347*12</f>
        <v>16164</v>
      </c>
      <c r="K8" s="114">
        <f t="shared" ref="K8" si="3">G8*B22</f>
        <v>1503.85664</v>
      </c>
      <c r="L8" s="114">
        <f>G8*D22</f>
        <v>2913.7222399999996</v>
      </c>
      <c r="M8" s="114">
        <f>G8*E22</f>
        <v>681.43503999999996</v>
      </c>
      <c r="N8" s="114">
        <v>420</v>
      </c>
      <c r="O8" s="114">
        <f>G8*G22</f>
        <v>140.98656</v>
      </c>
      <c r="P8" s="135">
        <f>SUM(G8:O8)</f>
        <v>76663.072767999998</v>
      </c>
      <c r="Q8" s="182">
        <f>P13</f>
        <v>640242.6613364165</v>
      </c>
    </row>
    <row r="9" spans="1:17" ht="15.75" thickTop="1" x14ac:dyDescent="0.25">
      <c r="A9" s="949" t="s">
        <v>541</v>
      </c>
      <c r="B9" s="112">
        <v>30</v>
      </c>
      <c r="C9" s="113"/>
      <c r="D9" s="114"/>
      <c r="E9" s="134">
        <v>5000</v>
      </c>
      <c r="F9" s="134"/>
      <c r="G9" s="134">
        <f t="shared" si="0"/>
        <v>5000</v>
      </c>
      <c r="H9" s="134"/>
      <c r="I9" s="115"/>
      <c r="J9" s="114"/>
      <c r="K9" s="114"/>
      <c r="L9" s="114"/>
      <c r="M9" s="114"/>
      <c r="N9" s="114"/>
      <c r="O9" s="114"/>
      <c r="P9" s="135"/>
      <c r="Q9" s="953"/>
    </row>
    <row r="10" spans="1:17" ht="30" x14ac:dyDescent="0.25">
      <c r="A10" s="949" t="s">
        <v>540</v>
      </c>
      <c r="B10" s="112"/>
      <c r="C10" s="113"/>
      <c r="D10" s="114"/>
      <c r="E10" s="134">
        <v>5000</v>
      </c>
      <c r="F10" s="134"/>
      <c r="G10" s="134">
        <f>SUM(E10:F10)</f>
        <v>5000</v>
      </c>
      <c r="H10" s="134"/>
      <c r="I10" s="115"/>
      <c r="J10" s="114"/>
      <c r="K10" s="114"/>
      <c r="L10" s="114"/>
      <c r="M10" s="114"/>
      <c r="N10" s="114"/>
      <c r="O10" s="114"/>
      <c r="P10" s="135"/>
      <c r="Q10" s="953"/>
    </row>
    <row r="11" spans="1:17" x14ac:dyDescent="0.25">
      <c r="A11" s="963" t="s">
        <v>552</v>
      </c>
      <c r="B11" s="190"/>
      <c r="C11" s="191"/>
      <c r="D11" s="192"/>
      <c r="E11" s="964"/>
      <c r="F11" s="964"/>
      <c r="G11" s="964"/>
      <c r="H11" s="964"/>
      <c r="I11" s="965"/>
      <c r="J11" s="192">
        <v>5795</v>
      </c>
      <c r="K11" s="192"/>
      <c r="L11" s="192"/>
      <c r="M11" s="192"/>
      <c r="N11" s="192"/>
      <c r="O11" s="192"/>
      <c r="P11" s="966"/>
      <c r="Q11" s="953"/>
    </row>
    <row r="12" spans="1:17" ht="15.75" thickBot="1" x14ac:dyDescent="0.3">
      <c r="A12" s="948" t="s">
        <v>539</v>
      </c>
      <c r="B12" s="187"/>
      <c r="C12" s="188"/>
      <c r="D12" s="945"/>
      <c r="E12" s="947"/>
      <c r="F12" s="947"/>
      <c r="G12" s="947"/>
      <c r="H12" s="947"/>
      <c r="I12" s="946"/>
      <c r="J12" s="945"/>
      <c r="K12" s="945"/>
      <c r="L12" s="945"/>
      <c r="M12" s="945"/>
      <c r="N12" s="945"/>
      <c r="O12" s="945"/>
      <c r="P12" s="944"/>
      <c r="Q12" s="953"/>
    </row>
    <row r="13" spans="1:17" ht="16.5" thickTop="1" thickBot="1" x14ac:dyDescent="0.3">
      <c r="C13" s="788" t="s">
        <v>125</v>
      </c>
      <c r="D13" s="943">
        <f>SUM(D4:D8)</f>
        <v>367910.92</v>
      </c>
      <c r="E13" s="943">
        <f>SUM(E4:E12)</f>
        <v>31039.73875</v>
      </c>
      <c r="F13" s="943">
        <f>SUM(F4:F12)</f>
        <v>13000</v>
      </c>
      <c r="G13" s="942">
        <f>SUM(G4:G12)</f>
        <v>411950.65875</v>
      </c>
      <c r="H13" s="942">
        <v>8000</v>
      </c>
      <c r="I13" s="942">
        <f>SUM(I4:I8)</f>
        <v>69337.127922458327</v>
      </c>
      <c r="J13" s="942">
        <f>SUM(J4:J12)</f>
        <v>104332.04000000001</v>
      </c>
      <c r="K13" s="942">
        <f>SUM(K4:K8)</f>
        <v>12567.757293333332</v>
      </c>
      <c r="L13" s="942">
        <f>SUM(L4:L8)</f>
        <v>24920.940842499997</v>
      </c>
      <c r="M13" s="942">
        <f>SUM(M4:M8)</f>
        <v>5828.284551875</v>
      </c>
      <c r="N13" s="942">
        <f>SUM(N4:N12)</f>
        <v>2100</v>
      </c>
      <c r="O13" s="942">
        <f>SUM(O4:O8)</f>
        <v>1205.85197625</v>
      </c>
      <c r="P13" s="942">
        <f>SUM(G13:O13)</f>
        <v>640242.6613364165</v>
      </c>
    </row>
    <row r="14" spans="1:17" ht="15.75" thickTop="1" x14ac:dyDescent="0.25">
      <c r="G14" s="116"/>
    </row>
    <row r="15" spans="1:17" x14ac:dyDescent="0.25">
      <c r="I15" s="116"/>
      <c r="K15" s="116"/>
      <c r="N15" s="969"/>
    </row>
    <row r="16" spans="1:17" ht="15.75" x14ac:dyDescent="0.25">
      <c r="A16" s="786"/>
      <c r="B16" s="786"/>
      <c r="C16" s="786"/>
      <c r="J16" s="116"/>
    </row>
    <row r="17" spans="1:10" ht="16.5" thickBot="1" x14ac:dyDescent="0.3">
      <c r="A17" s="783"/>
      <c r="B17" s="783" t="s">
        <v>157</v>
      </c>
      <c r="C17" s="783" t="s">
        <v>165</v>
      </c>
      <c r="D17" s="783" t="s">
        <v>538</v>
      </c>
      <c r="E17" s="783" t="s">
        <v>159</v>
      </c>
      <c r="F17" s="783" t="s">
        <v>155</v>
      </c>
      <c r="G17" s="783" t="s">
        <v>160</v>
      </c>
      <c r="H17" s="783" t="s">
        <v>205</v>
      </c>
    </row>
    <row r="18" spans="1:10" ht="15.75" thickTop="1" x14ac:dyDescent="0.25">
      <c r="A18" s="127" t="s">
        <v>161</v>
      </c>
      <c r="B18" s="973">
        <v>3.2000000000000001E-2</v>
      </c>
      <c r="C18" s="130">
        <f>1839.14*12</f>
        <v>22069.68</v>
      </c>
      <c r="D18" s="973">
        <v>6.2E-2</v>
      </c>
      <c r="E18" s="973">
        <v>1.4500000000000001E-2</v>
      </c>
      <c r="F18" s="973">
        <v>0.1847</v>
      </c>
      <c r="G18" s="973">
        <v>3.0000000000000001E-3</v>
      </c>
      <c r="H18" s="974">
        <f>SUM(D18:G18)+3.2%</f>
        <v>0.29620000000000002</v>
      </c>
      <c r="J18" s="90"/>
    </row>
    <row r="19" spans="1:10" x14ac:dyDescent="0.25">
      <c r="A19" s="111" t="s">
        <v>485</v>
      </c>
      <c r="B19" s="975">
        <v>3.2000000000000001E-2</v>
      </c>
      <c r="C19" s="114">
        <f>1839.14*12</f>
        <v>22069.68</v>
      </c>
      <c r="D19" s="975">
        <v>6.2E-2</v>
      </c>
      <c r="E19" s="975">
        <v>1.4500000000000001E-2</v>
      </c>
      <c r="F19" s="975">
        <v>0.16689999999999999</v>
      </c>
      <c r="G19" s="975">
        <v>3.0000000000000001E-3</v>
      </c>
      <c r="H19" s="976">
        <f>SUM(D19:G19)+3.2%</f>
        <v>0.27839999999999998</v>
      </c>
    </row>
    <row r="20" spans="1:10" x14ac:dyDescent="0.25">
      <c r="A20" s="111" t="s">
        <v>163</v>
      </c>
      <c r="B20" s="975">
        <v>3.2000000000000001E-2</v>
      </c>
      <c r="C20" s="114">
        <f>1347*12</f>
        <v>16164</v>
      </c>
      <c r="D20" s="975">
        <v>6.2E-2</v>
      </c>
      <c r="E20" s="975">
        <v>1.4500000000000001E-2</v>
      </c>
      <c r="F20" s="975">
        <v>0.16689999999999999</v>
      </c>
      <c r="G20" s="975">
        <v>3.0000000000000001E-3</v>
      </c>
      <c r="H20" s="976">
        <f t="shared" ref="H20:H22" si="4">SUM(D20:G20)+3.2%</f>
        <v>0.27839999999999998</v>
      </c>
    </row>
    <row r="21" spans="1:10" x14ac:dyDescent="0.25">
      <c r="A21" s="111" t="s">
        <v>203</v>
      </c>
      <c r="B21" s="975">
        <v>3.2000000000000001E-2</v>
      </c>
      <c r="C21" s="114">
        <f>1839.14*12</f>
        <v>22069.68</v>
      </c>
      <c r="D21" s="975">
        <v>6.2E-2</v>
      </c>
      <c r="E21" s="975">
        <v>1.4500000000000001E-2</v>
      </c>
      <c r="F21" s="975">
        <v>0.16689999999999999</v>
      </c>
      <c r="G21" s="975">
        <v>3.0000000000000001E-3</v>
      </c>
      <c r="H21" s="976">
        <f t="shared" si="4"/>
        <v>0.27839999999999998</v>
      </c>
    </row>
    <row r="22" spans="1:10" ht="15.75" thickBot="1" x14ac:dyDescent="0.3">
      <c r="A22" s="136" t="s">
        <v>204</v>
      </c>
      <c r="B22" s="977">
        <v>3.2000000000000001E-2</v>
      </c>
      <c r="C22" s="945">
        <f>1347*12</f>
        <v>16164</v>
      </c>
      <c r="D22" s="977">
        <v>6.2E-2</v>
      </c>
      <c r="E22" s="977">
        <v>1.4500000000000001E-2</v>
      </c>
      <c r="F22" s="977">
        <v>0.16689999999999999</v>
      </c>
      <c r="G22" s="977">
        <v>3.0000000000000001E-3</v>
      </c>
      <c r="H22" s="978">
        <f t="shared" si="4"/>
        <v>0.27839999999999998</v>
      </c>
    </row>
    <row r="23" spans="1:10" ht="16.5" thickTop="1" thickBot="1" x14ac:dyDescent="0.3">
      <c r="B23" s="971" t="s">
        <v>125</v>
      </c>
      <c r="C23" s="972">
        <f>SUM(C18:C22)</f>
        <v>98537.040000000008</v>
      </c>
      <c r="D23" s="90"/>
      <c r="E23" s="90"/>
      <c r="F23" s="90"/>
      <c r="G23" s="90"/>
      <c r="H23" s="90"/>
    </row>
    <row r="24" spans="1:10" ht="16.5" thickTop="1" x14ac:dyDescent="0.25">
      <c r="A24" s="64"/>
      <c r="B24" s="783">
        <v>2021</v>
      </c>
      <c r="C24" s="783"/>
      <c r="D24" s="64"/>
      <c r="E24" s="783"/>
    </row>
    <row r="25" spans="1:10" ht="16.5" thickBot="1" x14ac:dyDescent="0.3">
      <c r="A25" s="64" t="s">
        <v>151</v>
      </c>
      <c r="B25" s="783" t="s">
        <v>152</v>
      </c>
      <c r="C25" s="784" t="s">
        <v>153</v>
      </c>
      <c r="D25" s="941" t="s">
        <v>537</v>
      </c>
      <c r="E25" s="940" t="s">
        <v>536</v>
      </c>
    </row>
    <row r="26" spans="1:10" ht="15.75" thickTop="1" x14ac:dyDescent="0.25">
      <c r="A26" s="127" t="s">
        <v>161</v>
      </c>
      <c r="B26" s="128">
        <v>25</v>
      </c>
      <c r="C26" s="129">
        <v>49.14</v>
      </c>
      <c r="D26" s="979">
        <f>+C26*E31</f>
        <v>3.6854999999999998</v>
      </c>
      <c r="E26" s="133">
        <f>SUM(C26:D26)</f>
        <v>52.825499999999998</v>
      </c>
      <c r="G26" s="116"/>
    </row>
    <row r="27" spans="1:10" x14ac:dyDescent="0.25">
      <c r="A27" s="111" t="s">
        <v>163</v>
      </c>
      <c r="B27" s="112">
        <v>24</v>
      </c>
      <c r="C27" s="113">
        <v>37.79</v>
      </c>
      <c r="D27" s="980">
        <f>+C27*E31</f>
        <v>2.8342499999999999</v>
      </c>
      <c r="E27" s="135">
        <f>SUM(C27:D27)</f>
        <v>40.624249999999996</v>
      </c>
      <c r="G27" s="116"/>
    </row>
    <row r="28" spans="1:10" x14ac:dyDescent="0.25">
      <c r="A28" s="111" t="s">
        <v>485</v>
      </c>
      <c r="B28" s="112">
        <v>1</v>
      </c>
      <c r="C28" s="113">
        <v>30.1</v>
      </c>
      <c r="D28" s="980">
        <f>+C28*E31</f>
        <v>2.2574999999999998</v>
      </c>
      <c r="E28" s="135">
        <f>SUM(C28:D28)</f>
        <v>32.357500000000002</v>
      </c>
      <c r="G28" s="116"/>
    </row>
    <row r="29" spans="1:10" x14ac:dyDescent="0.25">
      <c r="A29" s="111" t="s">
        <v>203</v>
      </c>
      <c r="B29" s="112">
        <v>2</v>
      </c>
      <c r="C29" s="113">
        <v>25.89</v>
      </c>
      <c r="D29" s="980">
        <f>C29*E32</f>
        <v>2.5890000000000004</v>
      </c>
      <c r="E29" s="135">
        <f>SUM(C29:D29)</f>
        <v>28.478999999999999</v>
      </c>
      <c r="G29" s="967"/>
    </row>
    <row r="30" spans="1:10" ht="15.75" thickBot="1" x14ac:dyDescent="0.3">
      <c r="A30" s="136" t="s">
        <v>486</v>
      </c>
      <c r="B30" s="187">
        <v>2</v>
      </c>
      <c r="C30" s="188">
        <v>20.54</v>
      </c>
      <c r="D30" s="981">
        <f>C30*E32</f>
        <v>2.0539999999999998</v>
      </c>
      <c r="E30" s="944">
        <f>SUM(C30:D30)</f>
        <v>22.593999999999998</v>
      </c>
      <c r="G30" s="116"/>
    </row>
    <row r="31" spans="1:10" ht="28.5" customHeight="1" thickTop="1" thickBot="1" x14ac:dyDescent="0.3">
      <c r="A31" s="787"/>
      <c r="B31" s="788" t="s">
        <v>125</v>
      </c>
      <c r="C31" s="961">
        <f>SUM(C26:C30)</f>
        <v>163.46</v>
      </c>
      <c r="D31" s="962" t="s">
        <v>545</v>
      </c>
      <c r="E31" s="968">
        <v>7.4999999999999997E-2</v>
      </c>
    </row>
    <row r="32" spans="1:10" ht="22.5" customHeight="1" thickTop="1" thickBot="1" x14ac:dyDescent="0.3">
      <c r="B32" s="90"/>
      <c r="E32" s="968">
        <v>0.1</v>
      </c>
    </row>
    <row r="33" spans="5:5" ht="15.75" thickTop="1" x14ac:dyDescent="0.25">
      <c r="E33" s="95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N165"/>
  <sheetViews>
    <sheetView tabSelected="1" zoomScaleNormal="100" zoomScalePageLayoutView="120" workbookViewId="0">
      <pane ySplit="1" topLeftCell="A43" activePane="bottomLeft" state="frozen"/>
      <selection pane="bottomLeft" activeCell="D106" sqref="D106"/>
    </sheetView>
  </sheetViews>
  <sheetFormatPr defaultColWidth="9.140625" defaultRowHeight="15" x14ac:dyDescent="0.25"/>
  <cols>
    <col min="1" max="1" width="43.28515625" style="157" customWidth="1"/>
    <col min="2" max="2" width="67.7109375" style="157" customWidth="1"/>
    <col min="3" max="3" width="36.7109375" style="157" customWidth="1"/>
    <col min="4" max="4" width="21.85546875" style="157" customWidth="1"/>
    <col min="5" max="5" width="27.28515625" style="877" customWidth="1"/>
    <col min="6" max="6" width="53.140625" style="159" customWidth="1"/>
    <col min="7" max="7" width="34.28515625" style="158" customWidth="1"/>
    <col min="8" max="8" width="4.28515625" style="158" bestFit="1" customWidth="1"/>
    <col min="9" max="9" width="11.28515625" style="159" bestFit="1" customWidth="1"/>
    <col min="10" max="10" width="15.28515625" style="159" hidden="1" customWidth="1"/>
    <col min="11" max="11" width="14.42578125" style="159" hidden="1" customWidth="1"/>
    <col min="12" max="12" width="23.7109375" style="157" bestFit="1" customWidth="1"/>
    <col min="13" max="13" width="37.28515625" style="157" bestFit="1" customWidth="1"/>
    <col min="14" max="14" width="22.140625" style="157" bestFit="1" customWidth="1"/>
    <col min="15" max="15" width="9.140625" style="157"/>
    <col min="16" max="16" width="8.28515625" style="157" bestFit="1" customWidth="1"/>
    <col min="17" max="17" width="33.5703125" style="157" bestFit="1" customWidth="1"/>
    <col min="18" max="16384" width="9.140625" style="157"/>
  </cols>
  <sheetData>
    <row r="1" spans="1:11" ht="64.5" thickTop="1" thickBot="1" x14ac:dyDescent="0.4">
      <c r="A1" s="917" t="s">
        <v>0</v>
      </c>
      <c r="B1" s="918" t="s">
        <v>1</v>
      </c>
      <c r="C1" s="919" t="s">
        <v>535</v>
      </c>
      <c r="D1" s="920" t="s">
        <v>533</v>
      </c>
      <c r="E1" s="157"/>
      <c r="F1" s="157"/>
      <c r="G1" s="157"/>
      <c r="H1" s="157"/>
      <c r="I1" s="157"/>
      <c r="J1" s="157"/>
      <c r="K1" s="157"/>
    </row>
    <row r="2" spans="1:11" ht="21" thickTop="1" x14ac:dyDescent="0.3">
      <c r="A2" s="914"/>
      <c r="B2" s="915" t="s">
        <v>2</v>
      </c>
      <c r="C2" s="916"/>
      <c r="D2" s="921"/>
      <c r="E2" s="157"/>
      <c r="F2" s="157"/>
      <c r="G2" s="157"/>
      <c r="H2" s="157"/>
      <c r="I2" s="157"/>
      <c r="J2" s="157"/>
      <c r="K2" s="157"/>
    </row>
    <row r="3" spans="1:11" ht="23.25" x14ac:dyDescent="0.35">
      <c r="A3" s="879">
        <v>60011</v>
      </c>
      <c r="B3" s="880" t="s">
        <v>3</v>
      </c>
      <c r="C3" s="881">
        <v>67209</v>
      </c>
      <c r="D3" s="921">
        <f>'2022 Payroll Benefits Summa (3)'!I13+'2022 Payroll Benefits Summa (3)'!K13</f>
        <v>81904.885215791655</v>
      </c>
      <c r="E3" s="157"/>
      <c r="F3" s="157"/>
      <c r="G3" s="157"/>
      <c r="H3" s="157"/>
      <c r="I3" s="157"/>
      <c r="J3" s="157"/>
      <c r="K3" s="157"/>
    </row>
    <row r="4" spans="1:11" ht="23.25" x14ac:dyDescent="0.35">
      <c r="A4" s="882">
        <v>60012</v>
      </c>
      <c r="B4" s="880" t="s">
        <v>180</v>
      </c>
      <c r="C4" s="881">
        <v>24155.24150032</v>
      </c>
      <c r="D4" s="921">
        <f>'2022 Payroll Benefits Summa (3)'!L13+'2022 Payroll Benefits Summa (3)'!M13</f>
        <v>30749.225394374997</v>
      </c>
      <c r="E4" s="157"/>
      <c r="F4" s="157"/>
      <c r="G4" s="157"/>
      <c r="H4" s="157"/>
      <c r="I4" s="157"/>
      <c r="J4" s="157"/>
      <c r="K4" s="157"/>
    </row>
    <row r="5" spans="1:11" ht="23.25" x14ac:dyDescent="0.35">
      <c r="A5" s="879">
        <v>60013</v>
      </c>
      <c r="B5" s="880" t="s">
        <v>149</v>
      </c>
      <c r="C5" s="881">
        <v>3000</v>
      </c>
      <c r="D5" s="921">
        <f>'2022 Payroll Benefits Summa (3)'!N13</f>
        <v>2100</v>
      </c>
      <c r="E5" s="157"/>
      <c r="F5" s="157"/>
      <c r="G5" s="157"/>
      <c r="H5" s="157"/>
      <c r="I5" s="157"/>
      <c r="J5" s="157"/>
      <c r="K5" s="157"/>
    </row>
    <row r="6" spans="1:11" ht="23.25" x14ac:dyDescent="0.35">
      <c r="A6" s="879">
        <v>60014</v>
      </c>
      <c r="B6" s="880" t="s">
        <v>4</v>
      </c>
      <c r="C6" s="881">
        <v>5064.8087016799991</v>
      </c>
      <c r="D6" s="921">
        <f>'2022 Payroll Benefits Summa (3)'!O13</f>
        <v>1205.85197625</v>
      </c>
      <c r="E6" s="157"/>
      <c r="F6" s="157"/>
      <c r="G6" s="157"/>
      <c r="H6" s="157"/>
      <c r="I6" s="157"/>
      <c r="J6" s="157"/>
      <c r="K6" s="157"/>
    </row>
    <row r="7" spans="1:11" ht="30" customHeight="1" x14ac:dyDescent="0.35">
      <c r="A7" s="879">
        <v>60015</v>
      </c>
      <c r="B7" s="880" t="s">
        <v>5</v>
      </c>
      <c r="C7" s="881">
        <v>97973.4</v>
      </c>
      <c r="D7" s="921">
        <f>'2022 Payroll Benefits Summa (3)'!J13</f>
        <v>104332.04000000001</v>
      </c>
      <c r="E7" s="157"/>
      <c r="F7" s="157"/>
      <c r="G7" s="157"/>
      <c r="H7" s="157"/>
      <c r="I7" s="157"/>
      <c r="J7" s="157"/>
      <c r="K7" s="157"/>
    </row>
    <row r="8" spans="1:11" ht="23.25" x14ac:dyDescent="0.35">
      <c r="A8" s="879">
        <v>60016</v>
      </c>
      <c r="B8" s="880" t="s">
        <v>6</v>
      </c>
      <c r="C8" s="881">
        <v>7739.0931194559989</v>
      </c>
      <c r="D8" s="921">
        <f>'2022 Payroll Benefits Summa (3)'!H13</f>
        <v>8000</v>
      </c>
      <c r="E8" s="157"/>
      <c r="F8" s="157"/>
      <c r="G8" s="157"/>
      <c r="H8" s="157"/>
      <c r="I8" s="157"/>
      <c r="J8" s="157"/>
      <c r="K8" s="157"/>
    </row>
    <row r="9" spans="1:11" s="166" customFormat="1" ht="23.25" x14ac:dyDescent="0.35">
      <c r="A9" s="879">
        <v>60018</v>
      </c>
      <c r="B9" s="880" t="s">
        <v>7</v>
      </c>
      <c r="C9" s="881">
        <v>394800.66935999994</v>
      </c>
      <c r="D9" s="921">
        <f>'2022 Payroll Benefits Summa (3)'!G13</f>
        <v>411950.65875</v>
      </c>
    </row>
    <row r="10" spans="1:11" s="168" customFormat="1" ht="21.75" customHeight="1" x14ac:dyDescent="0.35">
      <c r="A10" s="883"/>
      <c r="B10" s="884" t="s">
        <v>8</v>
      </c>
      <c r="C10" s="885">
        <f>SUM(C3:C9)</f>
        <v>599942.21268145589</v>
      </c>
      <c r="D10" s="922">
        <f>SUM(D3:D9)</f>
        <v>640242.66133641661</v>
      </c>
    </row>
    <row r="11" spans="1:11" ht="18.75" x14ac:dyDescent="0.3">
      <c r="A11" s="879"/>
      <c r="B11" s="886" t="s">
        <v>9</v>
      </c>
      <c r="C11" s="887"/>
      <c r="D11" s="923"/>
      <c r="E11" s="157"/>
      <c r="F11" s="157"/>
      <c r="G11" s="157"/>
      <c r="H11" s="157"/>
      <c r="I11" s="157"/>
      <c r="J11" s="157"/>
      <c r="K11" s="157"/>
    </row>
    <row r="12" spans="1:11" ht="23.25" x14ac:dyDescent="0.35">
      <c r="A12" s="888">
        <v>60101</v>
      </c>
      <c r="B12" s="889" t="s">
        <v>10</v>
      </c>
      <c r="C12" s="890"/>
      <c r="D12" s="924"/>
      <c r="E12" s="157"/>
      <c r="F12" s="157"/>
      <c r="G12" s="157"/>
      <c r="H12" s="157"/>
      <c r="I12" s="157"/>
      <c r="J12" s="157"/>
      <c r="K12" s="157"/>
    </row>
    <row r="13" spans="1:11" ht="23.25" x14ac:dyDescent="0.35">
      <c r="A13" s="888">
        <v>60102</v>
      </c>
      <c r="B13" s="891" t="s">
        <v>63</v>
      </c>
      <c r="C13" s="892">
        <v>4000</v>
      </c>
      <c r="D13" s="925">
        <v>4000</v>
      </c>
      <c r="E13" s="157"/>
      <c r="F13" s="157"/>
      <c r="G13" s="157"/>
      <c r="H13" s="157"/>
      <c r="I13" s="157"/>
      <c r="J13" s="157"/>
      <c r="K13" s="157"/>
    </row>
    <row r="14" spans="1:11" ht="23.25" x14ac:dyDescent="0.35">
      <c r="A14" s="888">
        <v>60105</v>
      </c>
      <c r="B14" s="889" t="s">
        <v>492</v>
      </c>
      <c r="C14" s="892">
        <v>265000</v>
      </c>
      <c r="D14" s="925">
        <v>265000</v>
      </c>
      <c r="E14" s="166"/>
      <c r="F14" s="157"/>
      <c r="G14" s="157"/>
      <c r="H14" s="157"/>
      <c r="I14" s="157"/>
      <c r="J14" s="157"/>
      <c r="K14" s="157"/>
    </row>
    <row r="15" spans="1:11" s="166" customFormat="1" ht="23.25" x14ac:dyDescent="0.35">
      <c r="A15" s="888">
        <v>60106</v>
      </c>
      <c r="B15" s="889" t="s">
        <v>12</v>
      </c>
      <c r="C15" s="892"/>
      <c r="D15" s="925"/>
      <c r="E15" s="157"/>
    </row>
    <row r="16" spans="1:11" ht="23.25" x14ac:dyDescent="0.35">
      <c r="A16" s="888">
        <v>60108</v>
      </c>
      <c r="B16" s="889" t="s">
        <v>547</v>
      </c>
      <c r="C16" s="892">
        <v>0</v>
      </c>
      <c r="D16" s="925"/>
      <c r="E16" s="157"/>
      <c r="F16" s="157"/>
      <c r="G16" s="157"/>
      <c r="H16" s="157"/>
      <c r="I16" s="157"/>
      <c r="J16" s="157"/>
      <c r="K16" s="157"/>
    </row>
    <row r="17" spans="1:11" ht="23.25" x14ac:dyDescent="0.35">
      <c r="A17" s="888">
        <v>61001</v>
      </c>
      <c r="B17" s="891" t="s">
        <v>75</v>
      </c>
      <c r="C17" s="892">
        <v>20000</v>
      </c>
      <c r="D17" s="925">
        <v>20000</v>
      </c>
      <c r="E17" s="157"/>
      <c r="F17" s="157"/>
      <c r="G17" s="157"/>
      <c r="H17" s="157"/>
      <c r="I17" s="157"/>
      <c r="J17" s="157"/>
      <c r="K17" s="157"/>
    </row>
    <row r="18" spans="1:11" ht="23.25" x14ac:dyDescent="0.35">
      <c r="A18" s="888">
        <v>61002</v>
      </c>
      <c r="B18" s="891" t="s">
        <v>13</v>
      </c>
      <c r="C18" s="892">
        <v>500</v>
      </c>
      <c r="D18" s="925">
        <v>200</v>
      </c>
      <c r="E18" s="168"/>
      <c r="F18" s="157"/>
      <c r="G18" s="157"/>
      <c r="H18" s="157"/>
      <c r="I18" s="157"/>
      <c r="J18" s="157"/>
      <c r="K18" s="157"/>
    </row>
    <row r="19" spans="1:11" s="168" customFormat="1" ht="23.25" x14ac:dyDescent="0.35">
      <c r="A19" s="888">
        <v>61003</v>
      </c>
      <c r="B19" s="891" t="s">
        <v>14</v>
      </c>
      <c r="C19" s="892">
        <v>15000</v>
      </c>
      <c r="D19" s="925">
        <v>20000</v>
      </c>
      <c r="E19" s="166"/>
    </row>
    <row r="20" spans="1:11" s="166" customFormat="1" ht="23.25" x14ac:dyDescent="0.35">
      <c r="A20" s="888">
        <v>61004</v>
      </c>
      <c r="B20" s="891" t="s">
        <v>481</v>
      </c>
      <c r="C20" s="892">
        <f>10500-3500</f>
        <v>7000</v>
      </c>
      <c r="D20" s="925">
        <v>5500</v>
      </c>
      <c r="E20" s="157"/>
    </row>
    <row r="21" spans="1:11" s="166" customFormat="1" ht="23.25" x14ac:dyDescent="0.35">
      <c r="A21" s="888">
        <v>61004.1</v>
      </c>
      <c r="B21" s="893" t="s">
        <v>483</v>
      </c>
      <c r="C21" s="892">
        <v>3500</v>
      </c>
      <c r="D21" s="925"/>
      <c r="E21" s="157"/>
    </row>
    <row r="22" spans="1:11" s="166" customFormat="1" ht="23.25" x14ac:dyDescent="0.35">
      <c r="A22" s="888">
        <v>61005</v>
      </c>
      <c r="B22" s="891" t="s">
        <v>463</v>
      </c>
      <c r="C22" s="892">
        <v>0</v>
      </c>
      <c r="D22" s="925"/>
      <c r="E22" s="157"/>
    </row>
    <row r="23" spans="1:11" ht="23.25" x14ac:dyDescent="0.35">
      <c r="A23" s="888">
        <v>61006</v>
      </c>
      <c r="B23" s="891" t="s">
        <v>16</v>
      </c>
      <c r="C23" s="892">
        <v>7000</v>
      </c>
      <c r="D23" s="925">
        <v>8000</v>
      </c>
      <c r="E23" s="157"/>
      <c r="F23" s="157"/>
      <c r="G23" s="157"/>
      <c r="H23" s="157"/>
      <c r="I23" s="157"/>
      <c r="J23" s="157"/>
      <c r="K23" s="157"/>
    </row>
    <row r="24" spans="1:11" ht="23.25" x14ac:dyDescent="0.35">
      <c r="A24" s="888">
        <v>61007</v>
      </c>
      <c r="B24" s="891" t="s">
        <v>17</v>
      </c>
      <c r="C24" s="892">
        <v>6600</v>
      </c>
      <c r="D24" s="925">
        <f>550*12</f>
        <v>6600</v>
      </c>
      <c r="E24" s="179"/>
      <c r="F24" s="157"/>
      <c r="G24" s="157"/>
      <c r="H24" s="157"/>
      <c r="I24" s="157"/>
      <c r="J24" s="157"/>
      <c r="K24" s="157"/>
    </row>
    <row r="25" spans="1:11" s="179" customFormat="1" ht="23.25" x14ac:dyDescent="0.35">
      <c r="A25" s="894">
        <v>61008</v>
      </c>
      <c r="B25" s="895" t="s">
        <v>18</v>
      </c>
      <c r="C25" s="892">
        <v>3000</v>
      </c>
      <c r="D25" s="925">
        <v>2000</v>
      </c>
      <c r="E25" s="157"/>
    </row>
    <row r="26" spans="1:11" ht="23.25" x14ac:dyDescent="0.35">
      <c r="A26" s="896">
        <v>61009</v>
      </c>
      <c r="B26" s="897" t="s">
        <v>482</v>
      </c>
      <c r="C26" s="892">
        <v>20914.356</v>
      </c>
      <c r="D26" s="925">
        <v>21000</v>
      </c>
      <c r="E26" s="157"/>
      <c r="F26" s="157"/>
      <c r="G26" s="157"/>
      <c r="H26" s="157"/>
      <c r="I26" s="157"/>
      <c r="J26" s="157"/>
      <c r="K26" s="157"/>
    </row>
    <row r="27" spans="1:11" ht="23.25" x14ac:dyDescent="0.35">
      <c r="A27" s="888">
        <v>61010</v>
      </c>
      <c r="B27" s="891" t="s">
        <v>19</v>
      </c>
      <c r="C27" s="892">
        <v>10850.148000000001</v>
      </c>
      <c r="D27" s="925">
        <v>8500</v>
      </c>
      <c r="E27" s="168"/>
      <c r="F27" s="157"/>
      <c r="G27" s="157"/>
      <c r="H27" s="157"/>
      <c r="I27" s="157"/>
      <c r="J27" s="157"/>
      <c r="K27" s="157"/>
    </row>
    <row r="28" spans="1:11" s="168" customFormat="1" ht="23.25" x14ac:dyDescent="0.35">
      <c r="A28" s="888">
        <v>61011</v>
      </c>
      <c r="B28" s="891" t="s">
        <v>20</v>
      </c>
      <c r="C28" s="892">
        <v>1200</v>
      </c>
      <c r="D28" s="925">
        <v>1200</v>
      </c>
    </row>
    <row r="29" spans="1:11" s="168" customFormat="1" ht="23.25" x14ac:dyDescent="0.35">
      <c r="A29" s="888">
        <v>61012</v>
      </c>
      <c r="B29" s="891" t="s">
        <v>21</v>
      </c>
      <c r="C29" s="892">
        <v>1195.0919999999999</v>
      </c>
      <c r="D29" s="925">
        <v>0</v>
      </c>
      <c r="E29" s="157"/>
    </row>
    <row r="30" spans="1:11" ht="23.25" x14ac:dyDescent="0.35">
      <c r="A30" s="888">
        <v>61013</v>
      </c>
      <c r="B30" s="891" t="s">
        <v>22</v>
      </c>
      <c r="C30" s="892">
        <v>3135.4079999999999</v>
      </c>
      <c r="D30" s="925">
        <v>6200</v>
      </c>
      <c r="E30" s="168"/>
      <c r="F30" s="157"/>
      <c r="G30" s="157"/>
      <c r="H30" s="157"/>
      <c r="I30" s="157"/>
      <c r="J30" s="157"/>
      <c r="K30" s="157"/>
    </row>
    <row r="31" spans="1:11" s="168" customFormat="1" ht="23.25" x14ac:dyDescent="0.35">
      <c r="A31" s="888">
        <v>61014</v>
      </c>
      <c r="B31" s="891" t="s">
        <v>71</v>
      </c>
      <c r="C31" s="892">
        <v>550</v>
      </c>
      <c r="D31" s="925">
        <v>550</v>
      </c>
      <c r="E31" s="157"/>
    </row>
    <row r="32" spans="1:11" ht="23.25" x14ac:dyDescent="0.35">
      <c r="A32" s="888" t="s">
        <v>64</v>
      </c>
      <c r="B32" s="891" t="s">
        <v>148</v>
      </c>
      <c r="C32" s="892">
        <v>15564.54</v>
      </c>
      <c r="D32" s="925">
        <v>17000</v>
      </c>
      <c r="E32" s="157"/>
      <c r="F32" s="157"/>
      <c r="G32" s="157"/>
      <c r="H32" s="157"/>
      <c r="I32" s="157"/>
      <c r="J32" s="157"/>
      <c r="K32" s="157"/>
    </row>
    <row r="33" spans="1:11" ht="23.25" x14ac:dyDescent="0.35">
      <c r="A33" s="888">
        <v>61019</v>
      </c>
      <c r="B33" s="891" t="s">
        <v>95</v>
      </c>
      <c r="C33" s="892">
        <v>250</v>
      </c>
      <c r="D33" s="925"/>
      <c r="E33" s="157"/>
      <c r="F33" s="157"/>
      <c r="G33" s="157"/>
      <c r="H33" s="157"/>
      <c r="I33" s="157"/>
      <c r="J33" s="157"/>
      <c r="K33" s="157"/>
    </row>
    <row r="34" spans="1:11" ht="23.25" x14ac:dyDescent="0.35">
      <c r="A34" s="888" t="s">
        <v>65</v>
      </c>
      <c r="B34" s="891" t="s">
        <v>23</v>
      </c>
      <c r="C34" s="892">
        <v>0</v>
      </c>
      <c r="D34" s="925"/>
      <c r="E34" s="157"/>
      <c r="F34" s="157"/>
      <c r="G34" s="157"/>
      <c r="H34" s="157"/>
      <c r="I34" s="157"/>
      <c r="J34" s="157"/>
      <c r="K34" s="157"/>
    </row>
    <row r="35" spans="1:11" ht="23.25" x14ac:dyDescent="0.35">
      <c r="A35" s="888">
        <v>61021</v>
      </c>
      <c r="B35" s="891" t="s">
        <v>67</v>
      </c>
      <c r="C35" s="892">
        <v>1200</v>
      </c>
      <c r="D35" s="925">
        <v>1200</v>
      </c>
      <c r="E35" s="157"/>
      <c r="F35" s="157"/>
      <c r="G35" s="157"/>
      <c r="H35" s="157"/>
      <c r="I35" s="157"/>
      <c r="J35" s="157"/>
      <c r="K35" s="157"/>
    </row>
    <row r="36" spans="1:11" ht="23.25" x14ac:dyDescent="0.35">
      <c r="A36" s="888"/>
      <c r="B36" s="891" t="s">
        <v>24</v>
      </c>
      <c r="C36" s="892">
        <v>-265000</v>
      </c>
      <c r="D36" s="925">
        <v>-265000</v>
      </c>
      <c r="E36" s="157"/>
      <c r="F36" s="157"/>
      <c r="G36" s="157"/>
      <c r="H36" s="157"/>
      <c r="I36" s="157"/>
      <c r="J36" s="157"/>
      <c r="K36" s="157"/>
    </row>
    <row r="37" spans="1:11" ht="23.25" x14ac:dyDescent="0.35">
      <c r="A37" s="888">
        <v>61028</v>
      </c>
      <c r="B37" s="891" t="s">
        <v>202</v>
      </c>
      <c r="C37" s="892"/>
      <c r="D37" s="925">
        <v>500</v>
      </c>
      <c r="E37" s="157"/>
      <c r="F37" s="157"/>
      <c r="G37" s="157"/>
      <c r="H37" s="157"/>
      <c r="I37" s="157"/>
      <c r="J37" s="157"/>
      <c r="K37" s="157"/>
    </row>
    <row r="38" spans="1:11" ht="23.25" x14ac:dyDescent="0.35">
      <c r="A38" s="888"/>
      <c r="B38" s="898" t="s">
        <v>25</v>
      </c>
      <c r="C38" s="892">
        <f>SUM(C13:C37)</f>
        <v>121459.54399999999</v>
      </c>
      <c r="D38" s="926">
        <f>SUM(D11:D37)</f>
        <v>122450</v>
      </c>
      <c r="E38" s="157"/>
      <c r="F38" s="157"/>
      <c r="G38" s="157"/>
      <c r="H38" s="157"/>
      <c r="I38" s="157"/>
      <c r="J38" s="157"/>
      <c r="K38" s="157"/>
    </row>
    <row r="39" spans="1:11" ht="23.25" x14ac:dyDescent="0.35">
      <c r="A39" s="888"/>
      <c r="B39" s="898"/>
      <c r="C39" s="899"/>
      <c r="D39" s="926"/>
      <c r="E39" s="157"/>
      <c r="F39" s="157"/>
      <c r="G39" s="157"/>
      <c r="H39" s="157"/>
      <c r="I39" s="157"/>
      <c r="J39" s="157"/>
      <c r="K39" s="157"/>
    </row>
    <row r="40" spans="1:11" ht="23.25" x14ac:dyDescent="0.35">
      <c r="A40" s="888"/>
      <c r="B40" s="900" t="s">
        <v>548</v>
      </c>
      <c r="C40" s="892"/>
      <c r="D40" s="925"/>
      <c r="E40" s="168"/>
      <c r="F40" s="157"/>
      <c r="G40" s="157"/>
      <c r="H40" s="157"/>
      <c r="I40" s="157"/>
      <c r="J40" s="157"/>
      <c r="K40" s="157"/>
    </row>
    <row r="41" spans="1:11" s="168" customFormat="1" ht="23.25" x14ac:dyDescent="0.35">
      <c r="A41" s="888">
        <v>62001</v>
      </c>
      <c r="B41" s="891" t="s">
        <v>68</v>
      </c>
      <c r="C41" s="892">
        <v>10000</v>
      </c>
      <c r="D41" s="925">
        <v>10000</v>
      </c>
    </row>
    <row r="42" spans="1:11" s="168" customFormat="1" ht="23.25" x14ac:dyDescent="0.35">
      <c r="A42" s="888">
        <v>62002</v>
      </c>
      <c r="B42" s="891" t="s">
        <v>26</v>
      </c>
      <c r="C42" s="892">
        <v>15000</v>
      </c>
      <c r="D42" s="925">
        <v>12500</v>
      </c>
    </row>
    <row r="43" spans="1:11" s="168" customFormat="1" ht="23.25" x14ac:dyDescent="0.35">
      <c r="A43" s="888">
        <v>62004</v>
      </c>
      <c r="B43" s="891" t="s">
        <v>450</v>
      </c>
      <c r="C43" s="892">
        <v>45000</v>
      </c>
      <c r="D43" s="925">
        <v>42000</v>
      </c>
      <c r="E43" s="157"/>
    </row>
    <row r="44" spans="1:11" ht="23.25" x14ac:dyDescent="0.35">
      <c r="A44" s="888">
        <v>62005</v>
      </c>
      <c r="B44" s="891" t="s">
        <v>28</v>
      </c>
      <c r="C44" s="892">
        <v>1200</v>
      </c>
      <c r="D44" s="925">
        <v>600</v>
      </c>
      <c r="E44" s="157"/>
      <c r="F44" s="157"/>
      <c r="G44" s="157"/>
      <c r="H44" s="157"/>
      <c r="I44" s="157"/>
      <c r="J44" s="157"/>
      <c r="K44" s="157"/>
    </row>
    <row r="45" spans="1:11" ht="23.25" x14ac:dyDescent="0.35">
      <c r="A45" s="888">
        <v>62007</v>
      </c>
      <c r="B45" s="891" t="s">
        <v>29</v>
      </c>
      <c r="C45" s="892">
        <v>3600</v>
      </c>
      <c r="D45" s="925">
        <v>3500</v>
      </c>
      <c r="E45" s="169"/>
      <c r="F45" s="157"/>
      <c r="G45" s="157"/>
      <c r="H45" s="157"/>
      <c r="I45" s="157"/>
      <c r="J45" s="157"/>
      <c r="K45" s="157"/>
    </row>
    <row r="46" spans="1:11" s="169" customFormat="1" ht="23.25" x14ac:dyDescent="0.35">
      <c r="A46" s="888">
        <v>62009</v>
      </c>
      <c r="B46" s="891" t="s">
        <v>30</v>
      </c>
      <c r="C46" s="892">
        <v>35000</v>
      </c>
      <c r="D46" s="925">
        <v>23265</v>
      </c>
      <c r="E46" s="157"/>
    </row>
    <row r="47" spans="1:11" ht="23.25" x14ac:dyDescent="0.35">
      <c r="A47" s="888">
        <v>62010</v>
      </c>
      <c r="B47" s="891" t="s">
        <v>70</v>
      </c>
      <c r="C47" s="892">
        <v>3000</v>
      </c>
      <c r="D47" s="925">
        <v>7000</v>
      </c>
      <c r="E47" s="157"/>
      <c r="F47" s="157"/>
      <c r="G47" s="157"/>
      <c r="H47" s="157"/>
      <c r="I47" s="157"/>
      <c r="J47" s="157"/>
      <c r="K47" s="157"/>
    </row>
    <row r="48" spans="1:11" ht="23.25" x14ac:dyDescent="0.35">
      <c r="A48" s="888">
        <v>62012</v>
      </c>
      <c r="B48" s="891" t="s">
        <v>451</v>
      </c>
      <c r="C48" s="892">
        <v>0</v>
      </c>
      <c r="D48" s="925"/>
      <c r="E48" s="157"/>
      <c r="F48" s="157"/>
      <c r="G48" s="157"/>
      <c r="H48" s="157"/>
      <c r="I48" s="157"/>
      <c r="J48" s="157"/>
      <c r="K48" s="157"/>
    </row>
    <row r="49" spans="1:11" ht="23.25" x14ac:dyDescent="0.35">
      <c r="A49" s="888">
        <v>62013</v>
      </c>
      <c r="B49" s="891" t="s">
        <v>31</v>
      </c>
      <c r="C49" s="892">
        <v>1500</v>
      </c>
      <c r="D49" s="925">
        <v>2000</v>
      </c>
      <c r="E49" s="168"/>
      <c r="F49" s="157"/>
      <c r="G49" s="157"/>
      <c r="H49" s="157"/>
      <c r="I49" s="157"/>
      <c r="J49" s="157"/>
      <c r="K49" s="157"/>
    </row>
    <row r="50" spans="1:11" s="168" customFormat="1" ht="23.25" x14ac:dyDescent="0.35">
      <c r="A50" s="888">
        <v>62015</v>
      </c>
      <c r="B50" s="891" t="s">
        <v>32</v>
      </c>
      <c r="C50" s="892">
        <v>17770.968000000001</v>
      </c>
      <c r="D50" s="925">
        <v>17500</v>
      </c>
      <c r="E50" s="157"/>
    </row>
    <row r="51" spans="1:11" ht="23.25" x14ac:dyDescent="0.35">
      <c r="A51" s="888">
        <v>62017</v>
      </c>
      <c r="B51" s="889" t="s">
        <v>447</v>
      </c>
      <c r="C51" s="892">
        <v>35000</v>
      </c>
      <c r="D51" s="925">
        <v>50000</v>
      </c>
      <c r="E51" s="157"/>
      <c r="F51" s="157"/>
      <c r="G51" s="157"/>
      <c r="H51" s="157"/>
      <c r="I51" s="157"/>
      <c r="J51" s="157"/>
      <c r="K51" s="157"/>
    </row>
    <row r="52" spans="1:11" ht="23.25" x14ac:dyDescent="0.35">
      <c r="A52" s="901" t="s">
        <v>66</v>
      </c>
      <c r="B52" s="889" t="s">
        <v>98</v>
      </c>
      <c r="C52" s="892">
        <v>5000</v>
      </c>
      <c r="D52" s="925">
        <v>5000</v>
      </c>
      <c r="E52" s="157"/>
      <c r="F52" s="157"/>
      <c r="G52" s="157"/>
      <c r="H52" s="157"/>
      <c r="I52" s="157"/>
      <c r="J52" s="157"/>
      <c r="K52" s="157"/>
    </row>
    <row r="53" spans="1:11" ht="23.25" x14ac:dyDescent="0.35">
      <c r="A53" s="888">
        <v>62022</v>
      </c>
      <c r="B53" s="889" t="s">
        <v>452</v>
      </c>
      <c r="C53" s="892">
        <v>7500</v>
      </c>
      <c r="D53" s="925">
        <v>12000</v>
      </c>
      <c r="E53" s="157"/>
      <c r="F53" s="157"/>
      <c r="G53" s="157"/>
      <c r="H53" s="157"/>
      <c r="I53" s="157"/>
      <c r="J53" s="157"/>
      <c r="K53" s="157"/>
    </row>
    <row r="54" spans="1:11" ht="23.25" x14ac:dyDescent="0.35">
      <c r="A54" s="888">
        <v>62021</v>
      </c>
      <c r="B54" s="889" t="s">
        <v>34</v>
      </c>
      <c r="C54" s="892"/>
      <c r="D54" s="925"/>
      <c r="E54" s="157"/>
      <c r="F54" s="157"/>
      <c r="G54" s="157"/>
      <c r="H54" s="157"/>
      <c r="I54" s="157"/>
      <c r="J54" s="157"/>
      <c r="K54" s="157"/>
    </row>
    <row r="55" spans="1:11" ht="23.25" x14ac:dyDescent="0.35">
      <c r="A55" s="888">
        <v>63001</v>
      </c>
      <c r="B55" s="891" t="s">
        <v>35</v>
      </c>
      <c r="C55" s="892">
        <v>800</v>
      </c>
      <c r="D55" s="925">
        <v>500</v>
      </c>
      <c r="E55" s="168"/>
      <c r="F55" s="157"/>
      <c r="G55" s="157"/>
      <c r="H55" s="157"/>
      <c r="I55" s="157"/>
      <c r="J55" s="157"/>
      <c r="K55" s="157"/>
    </row>
    <row r="56" spans="1:11" s="168" customFormat="1" ht="23.25" x14ac:dyDescent="0.35">
      <c r="A56" s="888">
        <v>63002</v>
      </c>
      <c r="B56" s="891" t="s">
        <v>448</v>
      </c>
      <c r="C56" s="892">
        <v>4000</v>
      </c>
      <c r="D56" s="925">
        <v>10000</v>
      </c>
      <c r="E56" s="157"/>
    </row>
    <row r="57" spans="1:11" ht="23.25" x14ac:dyDescent="0.35">
      <c r="A57" s="888">
        <v>63003</v>
      </c>
      <c r="B57" s="891" t="s">
        <v>37</v>
      </c>
      <c r="C57" s="892">
        <v>200</v>
      </c>
      <c r="D57" s="925">
        <v>2000</v>
      </c>
      <c r="E57" s="157"/>
      <c r="F57" s="157"/>
      <c r="G57" s="157"/>
      <c r="H57" s="157"/>
      <c r="I57" s="157"/>
      <c r="J57" s="157"/>
      <c r="K57" s="157"/>
    </row>
    <row r="58" spans="1:11" ht="23.25" x14ac:dyDescent="0.35">
      <c r="A58" s="888">
        <v>63005</v>
      </c>
      <c r="B58" s="891" t="s">
        <v>449</v>
      </c>
      <c r="C58" s="892">
        <v>15139.212000000001</v>
      </c>
      <c r="D58" s="925">
        <v>17000</v>
      </c>
      <c r="E58" s="157"/>
      <c r="F58" s="157"/>
      <c r="G58" s="157"/>
      <c r="H58" s="157"/>
      <c r="I58" s="157"/>
      <c r="J58" s="157"/>
      <c r="K58" s="157"/>
    </row>
    <row r="59" spans="1:11" ht="23.25" x14ac:dyDescent="0.35">
      <c r="A59" s="888">
        <v>63010</v>
      </c>
      <c r="B59" s="889" t="s">
        <v>39</v>
      </c>
      <c r="C59" s="892"/>
      <c r="D59" s="925"/>
      <c r="E59" s="168"/>
      <c r="F59" s="157"/>
      <c r="G59" s="157"/>
      <c r="H59" s="157"/>
      <c r="I59" s="157"/>
      <c r="J59" s="157"/>
      <c r="K59" s="157"/>
    </row>
    <row r="60" spans="1:11" s="168" customFormat="1" ht="23.25" x14ac:dyDescent="0.35">
      <c r="A60" s="888">
        <v>63011</v>
      </c>
      <c r="B60" s="889" t="s">
        <v>49</v>
      </c>
      <c r="C60" s="892">
        <v>0</v>
      </c>
      <c r="D60" s="925"/>
      <c r="E60" s="157"/>
    </row>
    <row r="61" spans="1:11" ht="23.25" x14ac:dyDescent="0.35">
      <c r="A61" s="888">
        <v>63012</v>
      </c>
      <c r="B61" s="889" t="s">
        <v>199</v>
      </c>
      <c r="C61" s="892">
        <v>36000</v>
      </c>
      <c r="D61" s="925">
        <v>45000</v>
      </c>
      <c r="E61" s="157"/>
      <c r="F61" s="157"/>
      <c r="G61" s="157"/>
      <c r="H61" s="157"/>
      <c r="I61" s="157"/>
      <c r="J61" s="157"/>
      <c r="K61" s="157"/>
    </row>
    <row r="62" spans="1:11" ht="23.25" x14ac:dyDescent="0.35">
      <c r="A62" s="888">
        <v>70300</v>
      </c>
      <c r="B62" s="889" t="s">
        <v>96</v>
      </c>
      <c r="C62" s="892">
        <v>107264</v>
      </c>
      <c r="D62" s="925">
        <v>60133</v>
      </c>
      <c r="E62" s="157"/>
      <c r="F62" s="157"/>
      <c r="G62" s="157"/>
      <c r="H62" s="157"/>
      <c r="I62" s="157"/>
      <c r="J62" s="157"/>
      <c r="K62" s="157"/>
    </row>
    <row r="63" spans="1:11" ht="57" customHeight="1" x14ac:dyDescent="0.35">
      <c r="A63" s="888"/>
      <c r="B63" s="898" t="s">
        <v>40</v>
      </c>
      <c r="C63" s="902">
        <f>SUM(C41:C62)</f>
        <v>342974.18</v>
      </c>
      <c r="D63" s="927">
        <f>SUM(D41:D62)</f>
        <v>319998</v>
      </c>
      <c r="E63" s="157"/>
      <c r="F63" s="157"/>
      <c r="G63" s="157"/>
      <c r="H63" s="157"/>
      <c r="I63" s="157"/>
      <c r="J63" s="157"/>
      <c r="K63" s="157"/>
    </row>
    <row r="64" spans="1:11" ht="24.75" customHeight="1" x14ac:dyDescent="0.35">
      <c r="A64" s="888"/>
      <c r="B64" s="903" t="s">
        <v>100</v>
      </c>
      <c r="C64" s="902">
        <f>C10+C38+C63</f>
        <v>1064375.9366814559</v>
      </c>
      <c r="D64" s="927">
        <f>D10+D38+D63</f>
        <v>1082690.6613364166</v>
      </c>
      <c r="E64" s="157"/>
      <c r="F64" s="157"/>
      <c r="G64" s="157"/>
      <c r="H64" s="157"/>
      <c r="I64" s="157"/>
      <c r="J64" s="157"/>
      <c r="K64" s="157"/>
    </row>
    <row r="65" spans="1:11" ht="23.25" x14ac:dyDescent="0.35">
      <c r="A65" s="888"/>
      <c r="B65" s="889"/>
      <c r="C65" s="892"/>
      <c r="D65" s="925"/>
      <c r="E65" s="157"/>
      <c r="F65" s="157"/>
      <c r="G65" s="157"/>
      <c r="H65" s="157"/>
      <c r="I65" s="157"/>
      <c r="J65" s="157"/>
      <c r="K65" s="157"/>
    </row>
    <row r="66" spans="1:11" ht="23.25" x14ac:dyDescent="0.35">
      <c r="A66" s="888"/>
      <c r="B66" s="898" t="s">
        <v>41</v>
      </c>
      <c r="C66" s="892"/>
      <c r="D66" s="925"/>
      <c r="E66" s="157"/>
      <c r="F66" s="157"/>
      <c r="G66" s="157"/>
      <c r="H66" s="157"/>
      <c r="I66" s="157"/>
      <c r="J66" s="157"/>
      <c r="K66" s="157"/>
    </row>
    <row r="67" spans="1:11" ht="23.25" x14ac:dyDescent="0.35">
      <c r="A67" s="888"/>
      <c r="B67" s="891" t="s">
        <v>76</v>
      </c>
      <c r="C67" s="892"/>
      <c r="D67" s="925"/>
      <c r="E67" s="157"/>
      <c r="F67" s="157"/>
      <c r="G67" s="157"/>
      <c r="H67" s="157"/>
      <c r="I67" s="157"/>
      <c r="J67" s="157"/>
      <c r="K67" s="157"/>
    </row>
    <row r="68" spans="1:11" ht="23.25" x14ac:dyDescent="0.35">
      <c r="A68" s="888">
        <v>64011</v>
      </c>
      <c r="B68" s="891" t="s">
        <v>59</v>
      </c>
      <c r="C68" s="892"/>
      <c r="D68" s="925"/>
      <c r="E68" s="157"/>
      <c r="F68" s="157"/>
      <c r="G68" s="157"/>
      <c r="H68" s="157"/>
      <c r="I68" s="157"/>
      <c r="J68" s="157"/>
      <c r="K68" s="157"/>
    </row>
    <row r="69" spans="1:11" ht="23.25" x14ac:dyDescent="0.35">
      <c r="A69" s="888">
        <v>64012</v>
      </c>
      <c r="B69" s="891" t="s">
        <v>60</v>
      </c>
      <c r="C69" s="892">
        <v>60031</v>
      </c>
      <c r="D69" s="925">
        <f>'Existing Debt'!U105</f>
        <v>60044.800000000003</v>
      </c>
      <c r="E69" s="157"/>
      <c r="F69" s="157"/>
      <c r="G69" s="157"/>
      <c r="H69" s="157"/>
      <c r="I69" s="157"/>
      <c r="J69" s="157"/>
      <c r="K69" s="157"/>
    </row>
    <row r="70" spans="1:11" ht="23.25" x14ac:dyDescent="0.35">
      <c r="A70" s="888">
        <v>64013</v>
      </c>
      <c r="B70" s="891" t="s">
        <v>534</v>
      </c>
      <c r="C70" s="892">
        <v>38352</v>
      </c>
      <c r="D70" s="925"/>
      <c r="E70" s="157"/>
      <c r="F70" s="157"/>
      <c r="G70" s="157"/>
      <c r="H70" s="157"/>
      <c r="I70" s="157"/>
      <c r="J70" s="157"/>
      <c r="K70" s="157"/>
    </row>
    <row r="71" spans="1:11" ht="46.5" x14ac:dyDescent="0.35">
      <c r="A71" s="888">
        <v>64014</v>
      </c>
      <c r="B71" s="893" t="s">
        <v>531</v>
      </c>
      <c r="C71" s="892">
        <v>194547</v>
      </c>
      <c r="D71" s="925"/>
      <c r="E71" s="157"/>
      <c r="F71" s="157"/>
      <c r="G71" s="157"/>
      <c r="H71" s="157"/>
      <c r="I71" s="157"/>
      <c r="J71" s="157"/>
      <c r="K71" s="157"/>
    </row>
    <row r="72" spans="1:11" ht="46.5" x14ac:dyDescent="0.35">
      <c r="A72" s="888">
        <v>64014.1</v>
      </c>
      <c r="B72" s="893" t="s">
        <v>532</v>
      </c>
      <c r="C72" s="892">
        <v>221020</v>
      </c>
      <c r="D72" s="925"/>
      <c r="E72" s="157"/>
      <c r="F72" s="157"/>
      <c r="G72" s="157"/>
      <c r="H72" s="157"/>
      <c r="I72" s="157"/>
      <c r="J72" s="157"/>
      <c r="K72" s="157"/>
    </row>
    <row r="73" spans="1:11" ht="23.25" x14ac:dyDescent="0.35">
      <c r="A73" s="888">
        <v>64015</v>
      </c>
      <c r="B73" s="891" t="s">
        <v>498</v>
      </c>
      <c r="C73" s="892"/>
      <c r="D73" s="925">
        <v>401870.05</v>
      </c>
      <c r="E73" s="157"/>
      <c r="F73" s="157"/>
      <c r="G73" s="157"/>
      <c r="H73" s="157"/>
      <c r="I73" s="157"/>
      <c r="J73" s="157"/>
      <c r="K73" s="157"/>
    </row>
    <row r="74" spans="1:11" ht="23.25" x14ac:dyDescent="0.35">
      <c r="A74" s="888"/>
      <c r="B74" s="891" t="s">
        <v>138</v>
      </c>
      <c r="C74" s="904">
        <f>SUM(C69:C73)</f>
        <v>513950</v>
      </c>
      <c r="D74" s="928">
        <f>SUM(D69:D73)</f>
        <v>461914.85</v>
      </c>
      <c r="E74" s="157"/>
      <c r="F74" s="157"/>
      <c r="G74" s="157"/>
      <c r="H74" s="157"/>
      <c r="I74" s="157"/>
      <c r="J74" s="157"/>
      <c r="K74" s="157"/>
    </row>
    <row r="75" spans="1:11" ht="23.25" x14ac:dyDescent="0.35">
      <c r="A75" s="888"/>
      <c r="B75" s="891" t="s">
        <v>44</v>
      </c>
      <c r="C75" s="904">
        <v>1608606.6821857519</v>
      </c>
      <c r="D75" s="928">
        <f>D74+D64</f>
        <v>1544605.5113364165</v>
      </c>
      <c r="E75" s="157"/>
      <c r="F75" s="157"/>
      <c r="G75" s="157"/>
      <c r="H75" s="157"/>
      <c r="I75" s="157"/>
      <c r="J75" s="157"/>
      <c r="K75" s="157"/>
    </row>
    <row r="76" spans="1:11" ht="23.25" x14ac:dyDescent="0.35">
      <c r="A76" s="888"/>
      <c r="B76" s="905"/>
      <c r="C76" s="892"/>
      <c r="D76" s="982"/>
      <c r="E76" s="157"/>
      <c r="F76" s="157"/>
      <c r="G76" s="157"/>
      <c r="H76" s="157"/>
      <c r="I76" s="157"/>
      <c r="J76" s="157"/>
      <c r="K76" s="157"/>
    </row>
    <row r="77" spans="1:11" ht="23.25" x14ac:dyDescent="0.35">
      <c r="A77" s="888"/>
      <c r="B77" s="905"/>
      <c r="C77" s="892"/>
      <c r="D77" s="982"/>
      <c r="E77" s="157"/>
      <c r="F77" s="157"/>
      <c r="G77" s="157"/>
      <c r="H77" s="157"/>
      <c r="I77" s="157"/>
      <c r="J77" s="157"/>
      <c r="K77" s="157"/>
    </row>
    <row r="78" spans="1:11" ht="23.25" x14ac:dyDescent="0.35">
      <c r="A78" s="888">
        <v>40030</v>
      </c>
      <c r="B78" s="906" t="s">
        <v>42</v>
      </c>
      <c r="C78" s="892">
        <v>95000</v>
      </c>
      <c r="D78" s="925">
        <f>C106</f>
        <v>65000</v>
      </c>
      <c r="E78" s="157"/>
      <c r="F78" s="157"/>
      <c r="G78" s="157"/>
      <c r="H78" s="157"/>
      <c r="I78" s="157"/>
      <c r="J78" s="157"/>
      <c r="K78" s="157"/>
    </row>
    <row r="79" spans="1:11" ht="23.25" x14ac:dyDescent="0.35">
      <c r="A79" s="907">
        <v>40042</v>
      </c>
      <c r="B79" s="906" t="s">
        <v>553</v>
      </c>
      <c r="C79" s="892">
        <v>269598</v>
      </c>
      <c r="D79" s="925">
        <f>C107</f>
        <v>276360</v>
      </c>
      <c r="E79" s="157"/>
      <c r="F79" s="157"/>
      <c r="G79" s="157"/>
      <c r="H79" s="157"/>
      <c r="I79" s="157"/>
      <c r="J79" s="157"/>
      <c r="K79" s="157"/>
    </row>
    <row r="80" spans="1:11" ht="23.25" x14ac:dyDescent="0.35">
      <c r="A80" s="888">
        <v>40041</v>
      </c>
      <c r="B80" s="906" t="s">
        <v>496</v>
      </c>
      <c r="C80" s="892">
        <v>521280</v>
      </c>
      <c r="D80" s="925">
        <f>C109</f>
        <v>512280</v>
      </c>
      <c r="E80" s="157"/>
      <c r="F80" s="157"/>
      <c r="G80" s="157"/>
      <c r="H80" s="157"/>
      <c r="I80" s="157"/>
      <c r="J80" s="157"/>
      <c r="K80" s="157"/>
    </row>
    <row r="81" spans="1:11" ht="23.25" x14ac:dyDescent="0.35">
      <c r="A81" s="888">
        <v>40060</v>
      </c>
      <c r="B81" s="906" t="s">
        <v>74</v>
      </c>
      <c r="C81" s="892">
        <v>6957.5280000000002</v>
      </c>
      <c r="D81" s="925">
        <f>C112</f>
        <v>7000</v>
      </c>
      <c r="E81" s="157"/>
      <c r="F81" s="157"/>
      <c r="G81" s="157"/>
      <c r="H81" s="157"/>
      <c r="I81" s="157"/>
      <c r="J81" s="157"/>
      <c r="K81" s="157"/>
    </row>
    <row r="82" spans="1:11" ht="23.25" x14ac:dyDescent="0.35">
      <c r="A82" s="888">
        <v>40080</v>
      </c>
      <c r="B82" s="906" t="s">
        <v>43</v>
      </c>
      <c r="C82" s="892">
        <v>55000</v>
      </c>
      <c r="D82" s="925">
        <f>C113</f>
        <v>75000</v>
      </c>
      <c r="E82" s="157"/>
      <c r="F82" s="157"/>
      <c r="G82" s="157"/>
      <c r="H82" s="157"/>
      <c r="I82" s="157"/>
      <c r="J82" s="157"/>
      <c r="K82" s="157"/>
    </row>
    <row r="83" spans="1:11" ht="23.25" x14ac:dyDescent="0.35">
      <c r="A83" s="888">
        <v>40090</v>
      </c>
      <c r="B83" s="908" t="s">
        <v>490</v>
      </c>
      <c r="C83" s="892">
        <v>0</v>
      </c>
      <c r="D83" s="925"/>
      <c r="E83" s="157"/>
      <c r="F83" s="157"/>
      <c r="G83" s="157"/>
      <c r="H83" s="157"/>
      <c r="I83" s="157"/>
      <c r="J83" s="157"/>
      <c r="K83" s="157"/>
    </row>
    <row r="84" spans="1:11" ht="23.25" x14ac:dyDescent="0.35">
      <c r="A84" s="888"/>
      <c r="B84" s="908" t="s">
        <v>83</v>
      </c>
      <c r="C84" s="892"/>
      <c r="D84" s="925">
        <v>60000</v>
      </c>
      <c r="E84" s="157"/>
      <c r="F84" s="157"/>
      <c r="G84" s="157"/>
      <c r="H84" s="157"/>
      <c r="I84" s="157"/>
      <c r="J84" s="157"/>
      <c r="K84" s="157"/>
    </row>
    <row r="85" spans="1:11" ht="23.25" x14ac:dyDescent="0.35">
      <c r="A85" s="888"/>
      <c r="B85" s="908" t="s">
        <v>551</v>
      </c>
      <c r="C85" s="892"/>
      <c r="D85" s="925">
        <f>C115</f>
        <v>75000</v>
      </c>
      <c r="E85" s="157"/>
      <c r="F85" s="157"/>
      <c r="G85" s="157"/>
      <c r="H85" s="157"/>
      <c r="I85" s="157"/>
      <c r="J85" s="157"/>
      <c r="K85" s="157"/>
    </row>
    <row r="86" spans="1:11" ht="23.25" x14ac:dyDescent="0.35">
      <c r="A86" s="888"/>
      <c r="B86" s="906" t="s">
        <v>61</v>
      </c>
      <c r="C86" s="904">
        <v>947835.52800000005</v>
      </c>
      <c r="D86" s="928">
        <f>SUM(D78:D85)</f>
        <v>1070640</v>
      </c>
      <c r="E86" s="157"/>
      <c r="F86" s="157"/>
      <c r="G86" s="157"/>
      <c r="H86" s="157"/>
      <c r="I86" s="157"/>
      <c r="J86" s="157"/>
      <c r="K86" s="157"/>
    </row>
    <row r="87" spans="1:11" ht="23.25" x14ac:dyDescent="0.35">
      <c r="A87" s="888"/>
      <c r="B87" s="906" t="s">
        <v>51</v>
      </c>
      <c r="C87" s="892"/>
      <c r="D87" s="925"/>
      <c r="E87" s="157"/>
      <c r="F87" s="157"/>
      <c r="G87" s="157"/>
      <c r="H87" s="157"/>
      <c r="I87" s="157"/>
      <c r="J87" s="157"/>
      <c r="K87" s="157"/>
    </row>
    <row r="88" spans="1:11" ht="23.25" x14ac:dyDescent="0.35">
      <c r="A88" s="888">
        <v>50020</v>
      </c>
      <c r="B88" s="908" t="s">
        <v>52</v>
      </c>
      <c r="C88" s="892"/>
      <c r="D88" s="925"/>
      <c r="E88" s="157"/>
      <c r="F88" s="157"/>
      <c r="G88" s="157"/>
      <c r="H88" s="157"/>
      <c r="I88" s="157"/>
      <c r="J88" s="157"/>
      <c r="K88" s="157"/>
    </row>
    <row r="89" spans="1:11" ht="23.25" x14ac:dyDescent="0.35">
      <c r="A89" s="888">
        <v>50030</v>
      </c>
      <c r="B89" s="908" t="s">
        <v>53</v>
      </c>
      <c r="C89" s="892">
        <v>7644.1919999999991</v>
      </c>
      <c r="D89" s="925">
        <v>500</v>
      </c>
      <c r="E89" s="157"/>
      <c r="F89" s="157"/>
      <c r="G89" s="157"/>
      <c r="H89" s="157"/>
      <c r="I89" s="157"/>
      <c r="J89" s="157"/>
      <c r="K89" s="157"/>
    </row>
    <row r="90" spans="1:11" ht="23.25" x14ac:dyDescent="0.35">
      <c r="A90" s="888">
        <v>50031</v>
      </c>
      <c r="B90" s="906" t="s">
        <v>54</v>
      </c>
      <c r="C90" s="892">
        <v>0</v>
      </c>
      <c r="D90" s="925"/>
      <c r="E90" s="157"/>
      <c r="F90" s="157"/>
      <c r="G90" s="157"/>
      <c r="H90" s="157"/>
      <c r="I90" s="157"/>
      <c r="J90" s="157"/>
      <c r="K90" s="157"/>
    </row>
    <row r="91" spans="1:11" ht="23.25" x14ac:dyDescent="0.35">
      <c r="A91" s="888">
        <v>50032</v>
      </c>
      <c r="B91" s="906" t="s">
        <v>55</v>
      </c>
      <c r="C91" s="892">
        <v>0</v>
      </c>
      <c r="D91" s="925"/>
      <c r="E91" s="157"/>
      <c r="F91" s="157"/>
      <c r="G91" s="157"/>
      <c r="H91" s="157"/>
      <c r="I91" s="157"/>
      <c r="J91" s="157"/>
      <c r="K91" s="157"/>
    </row>
    <row r="92" spans="1:11" ht="23.25" x14ac:dyDescent="0.35">
      <c r="A92" s="888">
        <v>50040</v>
      </c>
      <c r="B92" s="908" t="s">
        <v>72</v>
      </c>
      <c r="C92" s="892">
        <v>0</v>
      </c>
      <c r="D92" s="925"/>
      <c r="E92" s="157"/>
      <c r="F92" s="157"/>
      <c r="G92" s="157"/>
      <c r="H92" s="157"/>
      <c r="I92" s="157"/>
      <c r="J92" s="157"/>
      <c r="K92" s="157"/>
    </row>
    <row r="93" spans="1:11" ht="23.25" x14ac:dyDescent="0.35">
      <c r="A93" s="888">
        <v>50050</v>
      </c>
      <c r="B93" s="908" t="s">
        <v>56</v>
      </c>
      <c r="C93" s="892">
        <v>0</v>
      </c>
      <c r="D93" s="925"/>
      <c r="E93" s="157"/>
      <c r="F93" s="157"/>
      <c r="G93" s="157"/>
      <c r="H93" s="157"/>
      <c r="I93" s="157"/>
      <c r="J93" s="157"/>
      <c r="K93" s="157"/>
    </row>
    <row r="94" spans="1:11" ht="23.25" x14ac:dyDescent="0.35">
      <c r="A94" s="888"/>
      <c r="B94" s="908" t="s">
        <v>97</v>
      </c>
      <c r="C94" s="892">
        <v>0</v>
      </c>
      <c r="D94" s="925"/>
      <c r="E94" s="157"/>
      <c r="F94" s="157"/>
      <c r="G94" s="157"/>
      <c r="H94" s="157"/>
      <c r="I94" s="157"/>
      <c r="J94" s="157"/>
      <c r="K94" s="157"/>
    </row>
    <row r="95" spans="1:11" ht="23.25" x14ac:dyDescent="0.35">
      <c r="A95" s="888"/>
      <c r="B95" s="908" t="s">
        <v>57</v>
      </c>
      <c r="C95" s="892">
        <v>7644.1919999999991</v>
      </c>
      <c r="D95" s="925">
        <f>SUM(D89:D94)</f>
        <v>500</v>
      </c>
      <c r="E95" s="157"/>
      <c r="F95" s="157"/>
      <c r="G95" s="157"/>
      <c r="H95" s="157"/>
      <c r="I95" s="157"/>
      <c r="J95" s="157"/>
      <c r="K95" s="157"/>
    </row>
    <row r="96" spans="1:11" ht="23.25" x14ac:dyDescent="0.35">
      <c r="A96" s="909"/>
      <c r="B96" s="908" t="s">
        <v>99</v>
      </c>
      <c r="C96" s="904">
        <f>C95+C86</f>
        <v>955479.72000000009</v>
      </c>
      <c r="D96" s="928">
        <f>D95+D86</f>
        <v>1071140</v>
      </c>
      <c r="E96" s="157"/>
      <c r="F96" s="157"/>
      <c r="G96" s="157"/>
      <c r="H96" s="157"/>
      <c r="I96" s="157"/>
      <c r="J96" s="157"/>
      <c r="K96" s="157"/>
    </row>
    <row r="97" spans="1:11" ht="23.25" x14ac:dyDescent="0.35">
      <c r="A97" s="888"/>
      <c r="B97" s="891" t="s">
        <v>47</v>
      </c>
      <c r="C97" s="910"/>
      <c r="D97" s="929"/>
      <c r="E97" s="157"/>
      <c r="F97" s="157"/>
      <c r="G97" s="157"/>
      <c r="H97" s="157"/>
      <c r="I97" s="157"/>
      <c r="J97" s="157"/>
      <c r="K97" s="157"/>
    </row>
    <row r="98" spans="1:11" ht="23.25" x14ac:dyDescent="0.35">
      <c r="A98" s="888">
        <v>40040</v>
      </c>
      <c r="B98" s="889" t="s">
        <v>197</v>
      </c>
      <c r="C98" s="892"/>
      <c r="D98" s="925"/>
      <c r="E98" s="157"/>
      <c r="F98" s="157"/>
      <c r="G98" s="157"/>
      <c r="H98" s="157"/>
      <c r="I98" s="157"/>
      <c r="J98" s="157"/>
      <c r="K98" s="157"/>
    </row>
    <row r="99" spans="1:11" ht="23.25" x14ac:dyDescent="0.35">
      <c r="A99" s="888">
        <v>40040</v>
      </c>
      <c r="B99" s="889" t="s">
        <v>469</v>
      </c>
      <c r="C99" s="911">
        <v>64428</v>
      </c>
      <c r="D99" s="930">
        <f>C108</f>
        <v>66696</v>
      </c>
      <c r="E99" s="157"/>
      <c r="F99" s="157"/>
      <c r="G99" s="157"/>
      <c r="H99" s="157"/>
      <c r="I99" s="157"/>
      <c r="J99" s="157"/>
      <c r="K99" s="157"/>
    </row>
    <row r="100" spans="1:11" ht="23.25" x14ac:dyDescent="0.35">
      <c r="A100" s="888">
        <v>40140</v>
      </c>
      <c r="B100" s="889" t="s">
        <v>46</v>
      </c>
      <c r="C100" s="892">
        <v>46515.600000000006</v>
      </c>
      <c r="D100" s="925">
        <f>C111</f>
        <v>46515.600000000006</v>
      </c>
      <c r="E100" s="157"/>
      <c r="F100" s="157"/>
      <c r="G100" s="157"/>
      <c r="H100" s="157"/>
      <c r="I100" s="157"/>
      <c r="J100" s="157"/>
      <c r="K100" s="157"/>
    </row>
    <row r="101" spans="1:11" ht="23.25" x14ac:dyDescent="0.35">
      <c r="A101" s="888">
        <v>40100</v>
      </c>
      <c r="B101" s="908" t="s">
        <v>497</v>
      </c>
      <c r="C101" s="892">
        <v>542184</v>
      </c>
      <c r="D101" s="925">
        <f>C110</f>
        <v>360253.8</v>
      </c>
      <c r="E101" s="157"/>
      <c r="F101" s="157"/>
      <c r="G101" s="157"/>
      <c r="H101" s="157"/>
      <c r="I101" s="157"/>
      <c r="J101" s="157"/>
      <c r="K101" s="157"/>
    </row>
    <row r="102" spans="1:11" s="166" customFormat="1" ht="23.25" x14ac:dyDescent="0.35">
      <c r="A102" s="888"/>
      <c r="B102" s="891" t="s">
        <v>62</v>
      </c>
      <c r="C102" s="938">
        <v>653127.6</v>
      </c>
      <c r="D102" s="939">
        <f>SUM(D99:D101)</f>
        <v>473465.4</v>
      </c>
      <c r="E102" s="167"/>
      <c r="F102" s="167"/>
    </row>
    <row r="103" spans="1:11" s="166" customFormat="1" ht="24" thickBot="1" x14ac:dyDescent="0.4">
      <c r="A103" s="912"/>
      <c r="B103" s="913" t="s">
        <v>48</v>
      </c>
      <c r="C103" s="904">
        <f>C96+C102</f>
        <v>1608607.32</v>
      </c>
      <c r="D103" s="928">
        <f>D96+D102</f>
        <v>1544605.4</v>
      </c>
      <c r="E103" s="167"/>
      <c r="F103" s="167"/>
    </row>
    <row r="104" spans="1:11" s="166" customFormat="1" ht="24.75" thickTop="1" thickBot="1" x14ac:dyDescent="0.4">
      <c r="A104" s="779"/>
      <c r="B104" s="779"/>
      <c r="C104" s="780"/>
      <c r="D104" s="781"/>
      <c r="E104" s="876"/>
      <c r="F104" s="775"/>
      <c r="G104" s="167"/>
      <c r="H104" s="167"/>
      <c r="I104" s="167"/>
    </row>
    <row r="105" spans="1:11" s="166" customFormat="1" ht="48" thickTop="1" thickBot="1" x14ac:dyDescent="0.4">
      <c r="A105" s="931" t="s">
        <v>494</v>
      </c>
      <c r="B105" s="932"/>
      <c r="C105" s="933" t="s">
        <v>530</v>
      </c>
      <c r="D105" s="774"/>
      <c r="E105" s="775"/>
      <c r="F105" s="167"/>
      <c r="G105" s="167"/>
      <c r="H105" s="167"/>
    </row>
    <row r="106" spans="1:11" s="166" customFormat="1" ht="24.75" thickTop="1" thickBot="1" x14ac:dyDescent="0.4">
      <c r="A106" s="931" t="s">
        <v>139</v>
      </c>
      <c r="B106" s="934" t="s">
        <v>550</v>
      </c>
      <c r="C106" s="935">
        <v>65000</v>
      </c>
      <c r="D106" s="774"/>
      <c r="E106" s="775"/>
      <c r="F106" s="167"/>
      <c r="G106" s="167"/>
      <c r="H106" s="167"/>
    </row>
    <row r="107" spans="1:11" s="166" customFormat="1" ht="24.75" thickTop="1" thickBot="1" x14ac:dyDescent="0.4">
      <c r="A107" s="931" t="s">
        <v>556</v>
      </c>
      <c r="B107" s="934" t="s">
        <v>557</v>
      </c>
      <c r="C107" s="935">
        <f>940*24.5*12</f>
        <v>276360</v>
      </c>
      <c r="D107" s="774"/>
      <c r="E107" s="775"/>
      <c r="F107" s="167"/>
      <c r="G107" s="167"/>
      <c r="H107" s="167"/>
    </row>
    <row r="108" spans="1:11" s="166" customFormat="1" ht="48" thickTop="1" thickBot="1" x14ac:dyDescent="0.4">
      <c r="A108" s="931" t="s">
        <v>141</v>
      </c>
      <c r="B108" s="932" t="s">
        <v>554</v>
      </c>
      <c r="C108" s="935">
        <f>1588*3.5*12</f>
        <v>66696</v>
      </c>
      <c r="D108" s="774"/>
      <c r="E108" s="775"/>
      <c r="F108" s="167"/>
      <c r="G108" s="167"/>
      <c r="H108" s="167"/>
    </row>
    <row r="109" spans="1:11" s="166" customFormat="1" ht="48" thickTop="1" thickBot="1" x14ac:dyDescent="0.4">
      <c r="A109" s="931" t="s">
        <v>555</v>
      </c>
      <c r="B109" s="932" t="s">
        <v>495</v>
      </c>
      <c r="C109" s="935">
        <f>30*1423*12</f>
        <v>512280</v>
      </c>
      <c r="D109" s="774"/>
      <c r="E109" s="775"/>
      <c r="F109" s="167"/>
      <c r="G109" s="167"/>
      <c r="H109" s="167"/>
    </row>
    <row r="110" spans="1:11" s="88" customFormat="1" ht="63.75" customHeight="1" thickTop="1" thickBot="1" x14ac:dyDescent="0.4">
      <c r="A110" s="931" t="s">
        <v>147</v>
      </c>
      <c r="B110" s="932" t="s">
        <v>493</v>
      </c>
      <c r="C110" s="935">
        <f>965*31.11*12</f>
        <v>360253.8</v>
      </c>
      <c r="D110" s="774"/>
      <c r="E110" s="734"/>
      <c r="F110" s="735"/>
      <c r="G110" s="735"/>
      <c r="H110" s="735"/>
    </row>
    <row r="111" spans="1:11" ht="100.5" customHeight="1" thickTop="1" thickBot="1" x14ac:dyDescent="0.4">
      <c r="A111" s="931" t="s">
        <v>143</v>
      </c>
      <c r="B111" s="934" t="s">
        <v>458</v>
      </c>
      <c r="C111" s="935">
        <f>1314*12*2.95</f>
        <v>46515.600000000006</v>
      </c>
      <c r="D111" s="774"/>
      <c r="E111" s="157"/>
      <c r="F111" s="157"/>
      <c r="G111" s="157"/>
      <c r="H111" s="157"/>
      <c r="I111" s="157"/>
      <c r="J111" s="157"/>
      <c r="K111" s="157"/>
    </row>
    <row r="112" spans="1:11" s="162" customFormat="1" ht="24.75" thickTop="1" thickBot="1" x14ac:dyDescent="0.4">
      <c r="A112" s="931" t="s">
        <v>144</v>
      </c>
      <c r="B112" s="934" t="s">
        <v>73</v>
      </c>
      <c r="C112" s="935">
        <v>7000</v>
      </c>
      <c r="D112" s="782"/>
    </row>
    <row r="113" spans="1:11" ht="24.75" thickTop="1" thickBot="1" x14ac:dyDescent="0.4">
      <c r="A113" s="959" t="s">
        <v>146</v>
      </c>
      <c r="B113" s="934" t="s">
        <v>488</v>
      </c>
      <c r="C113" s="935">
        <v>75000</v>
      </c>
      <c r="D113" s="774"/>
      <c r="E113" s="157"/>
      <c r="F113" s="157"/>
      <c r="G113" s="157"/>
      <c r="H113" s="157"/>
      <c r="I113" s="157"/>
      <c r="J113" s="157"/>
      <c r="K113" s="157"/>
    </row>
    <row r="114" spans="1:11" ht="24.75" thickTop="1" thickBot="1" x14ac:dyDescent="0.4">
      <c r="A114" s="960">
        <v>50030</v>
      </c>
      <c r="B114" s="934" t="s">
        <v>489</v>
      </c>
      <c r="C114" s="935">
        <v>500</v>
      </c>
      <c r="D114" s="774"/>
      <c r="E114" s="157"/>
      <c r="F114" s="157"/>
      <c r="G114" s="157"/>
      <c r="H114" s="157"/>
      <c r="I114" s="157"/>
      <c r="J114" s="157"/>
      <c r="K114" s="157"/>
    </row>
    <row r="115" spans="1:11" ht="24.75" thickTop="1" thickBot="1" x14ac:dyDescent="0.4">
      <c r="A115" s="960">
        <v>40043</v>
      </c>
      <c r="B115" s="934" t="s">
        <v>551</v>
      </c>
      <c r="C115" s="958">
        <v>75000</v>
      </c>
      <c r="E115" s="157"/>
      <c r="F115" s="157"/>
      <c r="G115" s="157"/>
      <c r="H115" s="157"/>
      <c r="I115" s="157"/>
      <c r="J115" s="157"/>
      <c r="K115" s="157"/>
    </row>
    <row r="116" spans="1:11" ht="24.75" thickTop="1" thickBot="1" x14ac:dyDescent="0.4">
      <c r="A116" s="931"/>
      <c r="B116" s="934" t="s">
        <v>549</v>
      </c>
      <c r="C116" s="958">
        <v>60000</v>
      </c>
      <c r="E116" s="157"/>
      <c r="F116" s="157"/>
      <c r="G116" s="157"/>
      <c r="H116" s="157"/>
      <c r="I116" s="157"/>
      <c r="J116" s="157"/>
      <c r="K116" s="157"/>
    </row>
    <row r="117" spans="1:11" ht="54" customHeight="1" thickTop="1" thickBot="1" x14ac:dyDescent="0.45">
      <c r="A117" s="936"/>
      <c r="B117" s="937" t="s">
        <v>125</v>
      </c>
      <c r="C117" s="937">
        <f>SUM(C106:C116)</f>
        <v>1544605.4000000001</v>
      </c>
      <c r="D117" s="878"/>
      <c r="E117" s="157"/>
      <c r="F117" s="157"/>
      <c r="G117" s="157"/>
      <c r="H117" s="157"/>
      <c r="I117" s="157"/>
      <c r="J117" s="157"/>
      <c r="K117" s="157"/>
    </row>
    <row r="118" spans="1:11" ht="15.75" thickTop="1" x14ac:dyDescent="0.25">
      <c r="E118" s="159"/>
      <c r="F118" s="157"/>
      <c r="G118" s="157"/>
      <c r="H118" s="157"/>
      <c r="I118" s="157"/>
      <c r="J118" s="157"/>
      <c r="K118" s="157"/>
    </row>
    <row r="119" spans="1:11" x14ac:dyDescent="0.25">
      <c r="E119" s="159"/>
      <c r="F119" s="157"/>
      <c r="G119" s="157"/>
      <c r="H119" s="157"/>
      <c r="I119" s="157"/>
      <c r="J119" s="157"/>
      <c r="K119" s="157"/>
    </row>
    <row r="120" spans="1:11" x14ac:dyDescent="0.25">
      <c r="E120" s="159"/>
      <c r="F120" s="157"/>
      <c r="G120" s="157"/>
      <c r="H120" s="157"/>
      <c r="I120" s="157"/>
      <c r="J120" s="157"/>
      <c r="K120" s="157"/>
    </row>
    <row r="121" spans="1:11" x14ac:dyDescent="0.25">
      <c r="E121" s="159"/>
      <c r="F121" s="157"/>
      <c r="G121" s="157"/>
      <c r="H121" s="157"/>
      <c r="I121" s="157"/>
      <c r="J121" s="157"/>
      <c r="K121" s="157"/>
    </row>
    <row r="122" spans="1:11" x14ac:dyDescent="0.25">
      <c r="G122" s="159"/>
      <c r="H122" s="157"/>
      <c r="I122" s="157"/>
      <c r="J122" s="157"/>
      <c r="K122" s="157"/>
    </row>
    <row r="123" spans="1:11" x14ac:dyDescent="0.25">
      <c r="E123" s="159"/>
      <c r="F123" s="157"/>
      <c r="G123" s="157"/>
      <c r="H123" s="157"/>
      <c r="I123" s="157"/>
      <c r="J123" s="157"/>
      <c r="K123" s="157"/>
    </row>
    <row r="124" spans="1:11" x14ac:dyDescent="0.25">
      <c r="E124" s="163"/>
      <c r="F124" s="158"/>
      <c r="G124" s="159"/>
      <c r="H124" s="159"/>
      <c r="J124" s="157"/>
      <c r="K124" s="157"/>
    </row>
    <row r="125" spans="1:11" ht="15.75" x14ac:dyDescent="0.25">
      <c r="E125" s="183"/>
      <c r="G125" s="159"/>
      <c r="H125" s="159"/>
      <c r="I125" s="157"/>
      <c r="J125" s="157"/>
      <c r="K125" s="157"/>
    </row>
    <row r="126" spans="1:11" x14ac:dyDescent="0.25">
      <c r="E126" s="157"/>
      <c r="G126" s="159"/>
      <c r="H126" s="159"/>
      <c r="I126" s="157"/>
      <c r="J126" s="157"/>
      <c r="K126" s="157"/>
    </row>
    <row r="127" spans="1:11" x14ac:dyDescent="0.25">
      <c r="E127" s="157"/>
      <c r="G127" s="159"/>
      <c r="H127" s="159"/>
      <c r="I127" s="157"/>
      <c r="J127" s="157"/>
      <c r="K127" s="157"/>
    </row>
    <row r="128" spans="1:11" ht="54.75" customHeight="1" x14ac:dyDescent="0.25">
      <c r="E128" s="183"/>
      <c r="G128" s="159"/>
      <c r="H128" s="159"/>
      <c r="I128" s="157"/>
      <c r="J128" s="157"/>
      <c r="K128" s="157"/>
    </row>
    <row r="129" spans="1:14" ht="51.75" customHeight="1" x14ac:dyDescent="0.25">
      <c r="E129" s="183"/>
      <c r="G129" s="159"/>
      <c r="H129" s="159"/>
      <c r="I129" s="157"/>
      <c r="J129" s="157"/>
      <c r="K129" s="157"/>
    </row>
    <row r="130" spans="1:14" ht="18.75" x14ac:dyDescent="0.3">
      <c r="E130" s="183"/>
      <c r="G130" s="159"/>
      <c r="H130" s="159"/>
      <c r="I130" s="157"/>
      <c r="J130" s="157"/>
      <c r="K130" s="157"/>
      <c r="L130" s="163"/>
      <c r="M130" s="163"/>
      <c r="N130" s="161"/>
    </row>
    <row r="131" spans="1:14" x14ac:dyDescent="0.25">
      <c r="E131" s="156"/>
      <c r="G131" s="159"/>
      <c r="H131" s="159"/>
      <c r="I131" s="156"/>
      <c r="J131" s="157"/>
      <c r="K131" s="157"/>
    </row>
    <row r="132" spans="1:14" x14ac:dyDescent="0.25">
      <c r="E132" s="156"/>
      <c r="G132" s="159"/>
      <c r="H132" s="159"/>
      <c r="I132" s="156"/>
      <c r="J132" s="157"/>
      <c r="K132" s="157"/>
    </row>
    <row r="133" spans="1:14" s="156" customFormat="1" ht="25.5" customHeight="1" x14ac:dyDescent="0.25">
      <c r="A133" s="157"/>
      <c r="B133" s="157"/>
      <c r="C133" s="157"/>
      <c r="D133" s="157"/>
      <c r="E133" s="157"/>
      <c r="F133" s="164"/>
      <c r="G133" s="159"/>
      <c r="H133" s="159"/>
      <c r="I133" s="159"/>
      <c r="J133" s="157"/>
    </row>
    <row r="134" spans="1:14" x14ac:dyDescent="0.25">
      <c r="E134" s="157"/>
      <c r="F134" s="165"/>
      <c r="G134" s="159"/>
      <c r="H134" s="159"/>
      <c r="J134" s="157"/>
      <c r="K134" s="157"/>
    </row>
    <row r="135" spans="1:14" x14ac:dyDescent="0.25">
      <c r="E135" s="157"/>
      <c r="F135" s="160"/>
      <c r="G135" s="160"/>
      <c r="H135" s="159"/>
      <c r="K135" s="157"/>
    </row>
    <row r="136" spans="1:14" x14ac:dyDescent="0.25">
      <c r="E136" s="157"/>
      <c r="F136" s="160"/>
      <c r="G136" s="160"/>
      <c r="H136" s="159"/>
      <c r="K136" s="157"/>
    </row>
    <row r="137" spans="1:14" x14ac:dyDescent="0.25">
      <c r="E137" s="157"/>
      <c r="F137" s="160"/>
      <c r="G137" s="160"/>
      <c r="H137" s="159"/>
      <c r="K137" s="157"/>
    </row>
    <row r="138" spans="1:14" x14ac:dyDescent="0.25">
      <c r="G138" s="160"/>
      <c r="H138" s="160"/>
    </row>
    <row r="139" spans="1:14" x14ac:dyDescent="0.25">
      <c r="G139" s="160"/>
      <c r="H139" s="160"/>
    </row>
    <row r="140" spans="1:14" x14ac:dyDescent="0.25">
      <c r="G140" s="160"/>
      <c r="H140" s="160"/>
    </row>
    <row r="141" spans="1:14" x14ac:dyDescent="0.25">
      <c r="G141" s="160"/>
      <c r="H141" s="160"/>
    </row>
    <row r="142" spans="1:14" x14ac:dyDescent="0.25">
      <c r="G142" s="160"/>
      <c r="H142" s="160"/>
    </row>
    <row r="143" spans="1:14" x14ac:dyDescent="0.25">
      <c r="G143" s="160"/>
      <c r="H143" s="160"/>
    </row>
    <row r="144" spans="1:14" x14ac:dyDescent="0.25">
      <c r="G144" s="160"/>
      <c r="H144" s="160"/>
    </row>
    <row r="145" spans="6:11" x14ac:dyDescent="0.25">
      <c r="G145" s="160"/>
      <c r="H145" s="160"/>
    </row>
    <row r="146" spans="6:11" x14ac:dyDescent="0.25">
      <c r="G146" s="160"/>
      <c r="H146" s="160"/>
    </row>
    <row r="147" spans="6:11" x14ac:dyDescent="0.25">
      <c r="G147" s="160"/>
      <c r="H147" s="160"/>
    </row>
    <row r="148" spans="6:11" x14ac:dyDescent="0.25">
      <c r="G148" s="160"/>
      <c r="H148" s="160"/>
    </row>
    <row r="149" spans="6:11" x14ac:dyDescent="0.25">
      <c r="F149" s="157"/>
      <c r="G149" s="157"/>
      <c r="H149" s="157"/>
      <c r="I149" s="157"/>
      <c r="J149" s="157"/>
      <c r="K149" s="157"/>
    </row>
    <row r="150" spans="6:11" x14ac:dyDescent="0.25">
      <c r="F150" s="157"/>
      <c r="G150" s="157"/>
      <c r="H150" s="157"/>
      <c r="I150" s="157"/>
      <c r="J150" s="157"/>
      <c r="K150" s="157"/>
    </row>
    <row r="151" spans="6:11" x14ac:dyDescent="0.25">
      <c r="F151" s="157"/>
      <c r="G151" s="157"/>
      <c r="H151" s="157"/>
      <c r="I151" s="157"/>
      <c r="J151" s="157"/>
      <c r="K151" s="157"/>
    </row>
    <row r="152" spans="6:11" x14ac:dyDescent="0.25">
      <c r="F152" s="157"/>
      <c r="G152" s="157"/>
      <c r="H152" s="157"/>
      <c r="I152" s="157"/>
      <c r="J152" s="157"/>
      <c r="K152" s="157"/>
    </row>
    <row r="153" spans="6:11" x14ac:dyDescent="0.25">
      <c r="F153" s="157"/>
      <c r="G153" s="157"/>
      <c r="H153" s="157"/>
      <c r="I153" s="157"/>
      <c r="J153" s="157"/>
      <c r="K153" s="157"/>
    </row>
    <row r="154" spans="6:11" x14ac:dyDescent="0.25">
      <c r="F154" s="157"/>
      <c r="G154" s="157"/>
      <c r="H154" s="157"/>
      <c r="I154" s="157"/>
      <c r="J154" s="157"/>
      <c r="K154" s="157"/>
    </row>
    <row r="155" spans="6:11" ht="30" customHeight="1" x14ac:dyDescent="0.25">
      <c r="F155" s="157"/>
      <c r="G155" s="157"/>
      <c r="H155" s="157"/>
      <c r="I155" s="157"/>
      <c r="J155" s="157"/>
      <c r="K155" s="157"/>
    </row>
    <row r="156" spans="6:11" x14ac:dyDescent="0.25">
      <c r="F156" s="157"/>
      <c r="G156" s="157"/>
      <c r="H156" s="157"/>
      <c r="I156" s="157"/>
      <c r="J156" s="157"/>
      <c r="K156" s="157"/>
    </row>
    <row r="157" spans="6:11" x14ac:dyDescent="0.25">
      <c r="F157" s="157"/>
      <c r="G157" s="157"/>
      <c r="H157" s="157"/>
      <c r="I157" s="157"/>
      <c r="J157" s="157"/>
      <c r="K157" s="157"/>
    </row>
    <row r="158" spans="6:11" x14ac:dyDescent="0.25">
      <c r="F158" s="157"/>
      <c r="G158" s="157"/>
      <c r="H158" s="157"/>
      <c r="I158" s="157"/>
      <c r="J158" s="157"/>
      <c r="K158" s="157"/>
    </row>
    <row r="159" spans="6:11" x14ac:dyDescent="0.25">
      <c r="F159" s="157"/>
      <c r="G159" s="157"/>
      <c r="H159" s="157"/>
      <c r="I159" s="157"/>
      <c r="J159" s="157"/>
      <c r="K159" s="157"/>
    </row>
    <row r="160" spans="6:11" x14ac:dyDescent="0.25">
      <c r="F160" s="157"/>
      <c r="G160" s="157"/>
      <c r="H160" s="157"/>
      <c r="I160" s="157"/>
      <c r="J160" s="157"/>
      <c r="K160" s="157"/>
    </row>
    <row r="161" spans="6:11" x14ac:dyDescent="0.25">
      <c r="F161" s="157"/>
      <c r="G161" s="157"/>
      <c r="H161" s="157"/>
      <c r="I161" s="157"/>
      <c r="J161" s="157"/>
      <c r="K161" s="157"/>
    </row>
    <row r="162" spans="6:11" x14ac:dyDescent="0.25">
      <c r="F162" s="157"/>
      <c r="G162" s="157"/>
      <c r="H162" s="157"/>
      <c r="I162" s="157"/>
      <c r="J162" s="157"/>
      <c r="K162" s="157"/>
    </row>
    <row r="165" spans="6:11" ht="28.5" customHeight="1" x14ac:dyDescent="0.25"/>
  </sheetData>
  <phoneticPr fontId="66" type="noConversion"/>
  <pageMargins left="0.2" right="0.25" top="0.75" bottom="0.75" header="0.3" footer="0.3"/>
  <pageSetup paperSize="5" scale="55" fitToHeight="2" orientation="landscape" r:id="rId1"/>
  <headerFooter>
    <oddHeader xml:space="preserve">&amp;C&amp;"-,Bold"&amp;14
</oddHeader>
    <oddFooter>&amp;CPage 4</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037FC-8DB5-4E1B-9821-E07E2B2C14A7}">
  <sheetPr>
    <tabColor indexed="43"/>
    <pageSetUpPr fitToPage="1"/>
  </sheetPr>
  <dimension ref="A1:N123"/>
  <sheetViews>
    <sheetView workbookViewId="0">
      <selection activeCell="R36" sqref="R35:R36"/>
    </sheetView>
  </sheetViews>
  <sheetFormatPr defaultRowHeight="11.25" x14ac:dyDescent="0.2"/>
  <cols>
    <col min="1" max="1" width="9.140625" style="791"/>
    <col min="2" max="2" width="9.140625" style="792"/>
    <col min="3" max="4" width="13.140625" style="791" customWidth="1"/>
    <col min="5" max="5" width="15.7109375" style="791" customWidth="1"/>
    <col min="6" max="6" width="13.140625" style="791" customWidth="1"/>
    <col min="7" max="7" width="17.7109375" style="791" customWidth="1"/>
    <col min="8" max="8" width="13.140625" style="791" customWidth="1"/>
    <col min="9" max="9" width="9.140625" style="791"/>
    <col min="10" max="10" width="10.28515625" style="791" hidden="1" customWidth="1"/>
    <col min="11" max="11" width="9.140625" style="791" hidden="1" customWidth="1"/>
    <col min="12" max="12" width="11" style="791" hidden="1" customWidth="1"/>
    <col min="13" max="13" width="10.140625" style="791" hidden="1" customWidth="1"/>
    <col min="14" max="14" width="9.140625" style="791" hidden="1" customWidth="1"/>
    <col min="15" max="258" width="9.140625" style="791"/>
    <col min="259" max="260" width="13.140625" style="791" customWidth="1"/>
    <col min="261" max="261" width="15.7109375" style="791" customWidth="1"/>
    <col min="262" max="262" width="13.140625" style="791" customWidth="1"/>
    <col min="263" max="263" width="17.7109375" style="791" customWidth="1"/>
    <col min="264" max="264" width="13.140625" style="791" customWidth="1"/>
    <col min="265" max="265" width="9.140625" style="791"/>
    <col min="266" max="270" width="0" style="791" hidden="1" customWidth="1"/>
    <col min="271" max="514" width="9.140625" style="791"/>
    <col min="515" max="516" width="13.140625" style="791" customWidth="1"/>
    <col min="517" max="517" width="15.7109375" style="791" customWidth="1"/>
    <col min="518" max="518" width="13.140625" style="791" customWidth="1"/>
    <col min="519" max="519" width="17.7109375" style="791" customWidth="1"/>
    <col min="520" max="520" width="13.140625" style="791" customWidth="1"/>
    <col min="521" max="521" width="9.140625" style="791"/>
    <col min="522" max="526" width="0" style="791" hidden="1" customWidth="1"/>
    <col min="527" max="770" width="9.140625" style="791"/>
    <col min="771" max="772" width="13.140625" style="791" customWidth="1"/>
    <col min="773" max="773" width="15.7109375" style="791" customWidth="1"/>
    <col min="774" max="774" width="13.140625" style="791" customWidth="1"/>
    <col min="775" max="775" width="17.7109375" style="791" customWidth="1"/>
    <col min="776" max="776" width="13.140625" style="791" customWidth="1"/>
    <col min="777" max="777" width="9.140625" style="791"/>
    <col min="778" max="782" width="0" style="791" hidden="1" customWidth="1"/>
    <col min="783" max="1026" width="9.140625" style="791"/>
    <col min="1027" max="1028" width="13.140625" style="791" customWidth="1"/>
    <col min="1029" max="1029" width="15.7109375" style="791" customWidth="1"/>
    <col min="1030" max="1030" width="13.140625" style="791" customWidth="1"/>
    <col min="1031" max="1031" width="17.7109375" style="791" customWidth="1"/>
    <col min="1032" max="1032" width="13.140625" style="791" customWidth="1"/>
    <col min="1033" max="1033" width="9.140625" style="791"/>
    <col min="1034" max="1038" width="0" style="791" hidden="1" customWidth="1"/>
    <col min="1039" max="1282" width="9.140625" style="791"/>
    <col min="1283" max="1284" width="13.140625" style="791" customWidth="1"/>
    <col min="1285" max="1285" width="15.7109375" style="791" customWidth="1"/>
    <col min="1286" max="1286" width="13.140625" style="791" customWidth="1"/>
    <col min="1287" max="1287" width="17.7109375" style="791" customWidth="1"/>
    <col min="1288" max="1288" width="13.140625" style="791" customWidth="1"/>
    <col min="1289" max="1289" width="9.140625" style="791"/>
    <col min="1290" max="1294" width="0" style="791" hidden="1" customWidth="1"/>
    <col min="1295" max="1538" width="9.140625" style="791"/>
    <col min="1539" max="1540" width="13.140625" style="791" customWidth="1"/>
    <col min="1541" max="1541" width="15.7109375" style="791" customWidth="1"/>
    <col min="1542" max="1542" width="13.140625" style="791" customWidth="1"/>
    <col min="1543" max="1543" width="17.7109375" style="791" customWidth="1"/>
    <col min="1544" max="1544" width="13.140625" style="791" customWidth="1"/>
    <col min="1545" max="1545" width="9.140625" style="791"/>
    <col min="1546" max="1550" width="0" style="791" hidden="1" customWidth="1"/>
    <col min="1551" max="1794" width="9.140625" style="791"/>
    <col min="1795" max="1796" width="13.140625" style="791" customWidth="1"/>
    <col min="1797" max="1797" width="15.7109375" style="791" customWidth="1"/>
    <col min="1798" max="1798" width="13.140625" style="791" customWidth="1"/>
    <col min="1799" max="1799" width="17.7109375" style="791" customWidth="1"/>
    <col min="1800" max="1800" width="13.140625" style="791" customWidth="1"/>
    <col min="1801" max="1801" width="9.140625" style="791"/>
    <col min="1802" max="1806" width="0" style="791" hidden="1" customWidth="1"/>
    <col min="1807" max="2050" width="9.140625" style="791"/>
    <col min="2051" max="2052" width="13.140625" style="791" customWidth="1"/>
    <col min="2053" max="2053" width="15.7109375" style="791" customWidth="1"/>
    <col min="2054" max="2054" width="13.140625" style="791" customWidth="1"/>
    <col min="2055" max="2055" width="17.7109375" style="791" customWidth="1"/>
    <col min="2056" max="2056" width="13.140625" style="791" customWidth="1"/>
    <col min="2057" max="2057" width="9.140625" style="791"/>
    <col min="2058" max="2062" width="0" style="791" hidden="1" customWidth="1"/>
    <col min="2063" max="2306" width="9.140625" style="791"/>
    <col min="2307" max="2308" width="13.140625" style="791" customWidth="1"/>
    <col min="2309" max="2309" width="15.7109375" style="791" customWidth="1"/>
    <col min="2310" max="2310" width="13.140625" style="791" customWidth="1"/>
    <col min="2311" max="2311" width="17.7109375" style="791" customWidth="1"/>
    <col min="2312" max="2312" width="13.140625" style="791" customWidth="1"/>
    <col min="2313" max="2313" width="9.140625" style="791"/>
    <col min="2314" max="2318" width="0" style="791" hidden="1" customWidth="1"/>
    <col min="2319" max="2562" width="9.140625" style="791"/>
    <col min="2563" max="2564" width="13.140625" style="791" customWidth="1"/>
    <col min="2565" max="2565" width="15.7109375" style="791" customWidth="1"/>
    <col min="2566" max="2566" width="13.140625" style="791" customWidth="1"/>
    <col min="2567" max="2567" width="17.7109375" style="791" customWidth="1"/>
    <col min="2568" max="2568" width="13.140625" style="791" customWidth="1"/>
    <col min="2569" max="2569" width="9.140625" style="791"/>
    <col min="2570" max="2574" width="0" style="791" hidden="1" customWidth="1"/>
    <col min="2575" max="2818" width="9.140625" style="791"/>
    <col min="2819" max="2820" width="13.140625" style="791" customWidth="1"/>
    <col min="2821" max="2821" width="15.7109375" style="791" customWidth="1"/>
    <col min="2822" max="2822" width="13.140625" style="791" customWidth="1"/>
    <col min="2823" max="2823" width="17.7109375" style="791" customWidth="1"/>
    <col min="2824" max="2824" width="13.140625" style="791" customWidth="1"/>
    <col min="2825" max="2825" width="9.140625" style="791"/>
    <col min="2826" max="2830" width="0" style="791" hidden="1" customWidth="1"/>
    <col min="2831" max="3074" width="9.140625" style="791"/>
    <col min="3075" max="3076" width="13.140625" style="791" customWidth="1"/>
    <col min="3077" max="3077" width="15.7109375" style="791" customWidth="1"/>
    <col min="3078" max="3078" width="13.140625" style="791" customWidth="1"/>
    <col min="3079" max="3079" width="17.7109375" style="791" customWidth="1"/>
    <col min="3080" max="3080" width="13.140625" style="791" customWidth="1"/>
    <col min="3081" max="3081" width="9.140625" style="791"/>
    <col min="3082" max="3086" width="0" style="791" hidden="1" customWidth="1"/>
    <col min="3087" max="3330" width="9.140625" style="791"/>
    <col min="3331" max="3332" width="13.140625" style="791" customWidth="1"/>
    <col min="3333" max="3333" width="15.7109375" style="791" customWidth="1"/>
    <col min="3334" max="3334" width="13.140625" style="791" customWidth="1"/>
    <col min="3335" max="3335" width="17.7109375" style="791" customWidth="1"/>
    <col min="3336" max="3336" width="13.140625" style="791" customWidth="1"/>
    <col min="3337" max="3337" width="9.140625" style="791"/>
    <col min="3338" max="3342" width="0" style="791" hidden="1" customWidth="1"/>
    <col min="3343" max="3586" width="9.140625" style="791"/>
    <col min="3587" max="3588" width="13.140625" style="791" customWidth="1"/>
    <col min="3589" max="3589" width="15.7109375" style="791" customWidth="1"/>
    <col min="3590" max="3590" width="13.140625" style="791" customWidth="1"/>
    <col min="3591" max="3591" width="17.7109375" style="791" customWidth="1"/>
    <col min="3592" max="3592" width="13.140625" style="791" customWidth="1"/>
    <col min="3593" max="3593" width="9.140625" style="791"/>
    <col min="3594" max="3598" width="0" style="791" hidden="1" customWidth="1"/>
    <col min="3599" max="3842" width="9.140625" style="791"/>
    <col min="3843" max="3844" width="13.140625" style="791" customWidth="1"/>
    <col min="3845" max="3845" width="15.7109375" style="791" customWidth="1"/>
    <col min="3846" max="3846" width="13.140625" style="791" customWidth="1"/>
    <col min="3847" max="3847" width="17.7109375" style="791" customWidth="1"/>
    <col min="3848" max="3848" width="13.140625" style="791" customWidth="1"/>
    <col min="3849" max="3849" width="9.140625" style="791"/>
    <col min="3850" max="3854" width="0" style="791" hidden="1" customWidth="1"/>
    <col min="3855" max="4098" width="9.140625" style="791"/>
    <col min="4099" max="4100" width="13.140625" style="791" customWidth="1"/>
    <col min="4101" max="4101" width="15.7109375" style="791" customWidth="1"/>
    <col min="4102" max="4102" width="13.140625" style="791" customWidth="1"/>
    <col min="4103" max="4103" width="17.7109375" style="791" customWidth="1"/>
    <col min="4104" max="4104" width="13.140625" style="791" customWidth="1"/>
    <col min="4105" max="4105" width="9.140625" style="791"/>
    <col min="4106" max="4110" width="0" style="791" hidden="1" customWidth="1"/>
    <col min="4111" max="4354" width="9.140625" style="791"/>
    <col min="4355" max="4356" width="13.140625" style="791" customWidth="1"/>
    <col min="4357" max="4357" width="15.7109375" style="791" customWidth="1"/>
    <col min="4358" max="4358" width="13.140625" style="791" customWidth="1"/>
    <col min="4359" max="4359" width="17.7109375" style="791" customWidth="1"/>
    <col min="4360" max="4360" width="13.140625" style="791" customWidth="1"/>
    <col min="4361" max="4361" width="9.140625" style="791"/>
    <col min="4362" max="4366" width="0" style="791" hidden="1" customWidth="1"/>
    <col min="4367" max="4610" width="9.140625" style="791"/>
    <col min="4611" max="4612" width="13.140625" style="791" customWidth="1"/>
    <col min="4613" max="4613" width="15.7109375" style="791" customWidth="1"/>
    <col min="4614" max="4614" width="13.140625" style="791" customWidth="1"/>
    <col min="4615" max="4615" width="17.7109375" style="791" customWidth="1"/>
    <col min="4616" max="4616" width="13.140625" style="791" customWidth="1"/>
    <col min="4617" max="4617" width="9.140625" style="791"/>
    <col min="4618" max="4622" width="0" style="791" hidden="1" customWidth="1"/>
    <col min="4623" max="4866" width="9.140625" style="791"/>
    <col min="4867" max="4868" width="13.140625" style="791" customWidth="1"/>
    <col min="4869" max="4869" width="15.7109375" style="791" customWidth="1"/>
    <col min="4870" max="4870" width="13.140625" style="791" customWidth="1"/>
    <col min="4871" max="4871" width="17.7109375" style="791" customWidth="1"/>
    <col min="4872" max="4872" width="13.140625" style="791" customWidth="1"/>
    <col min="4873" max="4873" width="9.140625" style="791"/>
    <col min="4874" max="4878" width="0" style="791" hidden="1" customWidth="1"/>
    <col min="4879" max="5122" width="9.140625" style="791"/>
    <col min="5123" max="5124" width="13.140625" style="791" customWidth="1"/>
    <col min="5125" max="5125" width="15.7109375" style="791" customWidth="1"/>
    <col min="5126" max="5126" width="13.140625" style="791" customWidth="1"/>
    <col min="5127" max="5127" width="17.7109375" style="791" customWidth="1"/>
    <col min="5128" max="5128" width="13.140625" style="791" customWidth="1"/>
    <col min="5129" max="5129" width="9.140625" style="791"/>
    <col min="5130" max="5134" width="0" style="791" hidden="1" customWidth="1"/>
    <col min="5135" max="5378" width="9.140625" style="791"/>
    <col min="5379" max="5380" width="13.140625" style="791" customWidth="1"/>
    <col min="5381" max="5381" width="15.7109375" style="791" customWidth="1"/>
    <col min="5382" max="5382" width="13.140625" style="791" customWidth="1"/>
    <col min="5383" max="5383" width="17.7109375" style="791" customWidth="1"/>
    <col min="5384" max="5384" width="13.140625" style="791" customWidth="1"/>
    <col min="5385" max="5385" width="9.140625" style="791"/>
    <col min="5386" max="5390" width="0" style="791" hidden="1" customWidth="1"/>
    <col min="5391" max="5634" width="9.140625" style="791"/>
    <col min="5635" max="5636" width="13.140625" style="791" customWidth="1"/>
    <col min="5637" max="5637" width="15.7109375" style="791" customWidth="1"/>
    <col min="5638" max="5638" width="13.140625" style="791" customWidth="1"/>
    <col min="5639" max="5639" width="17.7109375" style="791" customWidth="1"/>
    <col min="5640" max="5640" width="13.140625" style="791" customWidth="1"/>
    <col min="5641" max="5641" width="9.140625" style="791"/>
    <col min="5642" max="5646" width="0" style="791" hidden="1" customWidth="1"/>
    <col min="5647" max="5890" width="9.140625" style="791"/>
    <col min="5891" max="5892" width="13.140625" style="791" customWidth="1"/>
    <col min="5893" max="5893" width="15.7109375" style="791" customWidth="1"/>
    <col min="5894" max="5894" width="13.140625" style="791" customWidth="1"/>
    <col min="5895" max="5895" width="17.7109375" style="791" customWidth="1"/>
    <col min="5896" max="5896" width="13.140625" style="791" customWidth="1"/>
    <col min="5897" max="5897" width="9.140625" style="791"/>
    <col min="5898" max="5902" width="0" style="791" hidden="1" customWidth="1"/>
    <col min="5903" max="6146" width="9.140625" style="791"/>
    <col min="6147" max="6148" width="13.140625" style="791" customWidth="1"/>
    <col min="6149" max="6149" width="15.7109375" style="791" customWidth="1"/>
    <col min="6150" max="6150" width="13.140625" style="791" customWidth="1"/>
    <col min="6151" max="6151" width="17.7109375" style="791" customWidth="1"/>
    <col min="6152" max="6152" width="13.140625" style="791" customWidth="1"/>
    <col min="6153" max="6153" width="9.140625" style="791"/>
    <col min="6154" max="6158" width="0" style="791" hidden="1" customWidth="1"/>
    <col min="6159" max="6402" width="9.140625" style="791"/>
    <col min="6403" max="6404" width="13.140625" style="791" customWidth="1"/>
    <col min="6405" max="6405" width="15.7109375" style="791" customWidth="1"/>
    <col min="6406" max="6406" width="13.140625" style="791" customWidth="1"/>
    <col min="6407" max="6407" width="17.7109375" style="791" customWidth="1"/>
    <col min="6408" max="6408" width="13.140625" style="791" customWidth="1"/>
    <col min="6409" max="6409" width="9.140625" style="791"/>
    <col min="6410" max="6414" width="0" style="791" hidden="1" customWidth="1"/>
    <col min="6415" max="6658" width="9.140625" style="791"/>
    <col min="6659" max="6660" width="13.140625" style="791" customWidth="1"/>
    <col min="6661" max="6661" width="15.7109375" style="791" customWidth="1"/>
    <col min="6662" max="6662" width="13.140625" style="791" customWidth="1"/>
    <col min="6663" max="6663" width="17.7109375" style="791" customWidth="1"/>
    <col min="6664" max="6664" width="13.140625" style="791" customWidth="1"/>
    <col min="6665" max="6665" width="9.140625" style="791"/>
    <col min="6666" max="6670" width="0" style="791" hidden="1" customWidth="1"/>
    <col min="6671" max="6914" width="9.140625" style="791"/>
    <col min="6915" max="6916" width="13.140625" style="791" customWidth="1"/>
    <col min="6917" max="6917" width="15.7109375" style="791" customWidth="1"/>
    <col min="6918" max="6918" width="13.140625" style="791" customWidth="1"/>
    <col min="6919" max="6919" width="17.7109375" style="791" customWidth="1"/>
    <col min="6920" max="6920" width="13.140625" style="791" customWidth="1"/>
    <col min="6921" max="6921" width="9.140625" style="791"/>
    <col min="6922" max="6926" width="0" style="791" hidden="1" customWidth="1"/>
    <col min="6927" max="7170" width="9.140625" style="791"/>
    <col min="7171" max="7172" width="13.140625" style="791" customWidth="1"/>
    <col min="7173" max="7173" width="15.7109375" style="791" customWidth="1"/>
    <col min="7174" max="7174" width="13.140625" style="791" customWidth="1"/>
    <col min="7175" max="7175" width="17.7109375" style="791" customWidth="1"/>
    <col min="7176" max="7176" width="13.140625" style="791" customWidth="1"/>
    <col min="7177" max="7177" width="9.140625" style="791"/>
    <col min="7178" max="7182" width="0" style="791" hidden="1" customWidth="1"/>
    <col min="7183" max="7426" width="9.140625" style="791"/>
    <col min="7427" max="7428" width="13.140625" style="791" customWidth="1"/>
    <col min="7429" max="7429" width="15.7109375" style="791" customWidth="1"/>
    <col min="7430" max="7430" width="13.140625" style="791" customWidth="1"/>
    <col min="7431" max="7431" width="17.7109375" style="791" customWidth="1"/>
    <col min="7432" max="7432" width="13.140625" style="791" customWidth="1"/>
    <col min="7433" max="7433" width="9.140625" style="791"/>
    <col min="7434" max="7438" width="0" style="791" hidden="1" customWidth="1"/>
    <col min="7439" max="7682" width="9.140625" style="791"/>
    <col min="7683" max="7684" width="13.140625" style="791" customWidth="1"/>
    <col min="7685" max="7685" width="15.7109375" style="791" customWidth="1"/>
    <col min="7686" max="7686" width="13.140625" style="791" customWidth="1"/>
    <col min="7687" max="7687" width="17.7109375" style="791" customWidth="1"/>
    <col min="7688" max="7688" width="13.140625" style="791" customWidth="1"/>
    <col min="7689" max="7689" width="9.140625" style="791"/>
    <col min="7690" max="7694" width="0" style="791" hidden="1" customWidth="1"/>
    <col min="7695" max="7938" width="9.140625" style="791"/>
    <col min="7939" max="7940" width="13.140625" style="791" customWidth="1"/>
    <col min="7941" max="7941" width="15.7109375" style="791" customWidth="1"/>
    <col min="7942" max="7942" width="13.140625" style="791" customWidth="1"/>
    <col min="7943" max="7943" width="17.7109375" style="791" customWidth="1"/>
    <col min="7944" max="7944" width="13.140625" style="791" customWidth="1"/>
    <col min="7945" max="7945" width="9.140625" style="791"/>
    <col min="7946" max="7950" width="0" style="791" hidden="1" customWidth="1"/>
    <col min="7951" max="8194" width="9.140625" style="791"/>
    <col min="8195" max="8196" width="13.140625" style="791" customWidth="1"/>
    <col min="8197" max="8197" width="15.7109375" style="791" customWidth="1"/>
    <col min="8198" max="8198" width="13.140625" style="791" customWidth="1"/>
    <col min="8199" max="8199" width="17.7109375" style="791" customWidth="1"/>
    <col min="8200" max="8200" width="13.140625" style="791" customWidth="1"/>
    <col min="8201" max="8201" width="9.140625" style="791"/>
    <col min="8202" max="8206" width="0" style="791" hidden="1" customWidth="1"/>
    <col min="8207" max="8450" width="9.140625" style="791"/>
    <col min="8451" max="8452" width="13.140625" style="791" customWidth="1"/>
    <col min="8453" max="8453" width="15.7109375" style="791" customWidth="1"/>
    <col min="8454" max="8454" width="13.140625" style="791" customWidth="1"/>
    <col min="8455" max="8455" width="17.7109375" style="791" customWidth="1"/>
    <col min="8456" max="8456" width="13.140625" style="791" customWidth="1"/>
    <col min="8457" max="8457" width="9.140625" style="791"/>
    <col min="8458" max="8462" width="0" style="791" hidden="1" customWidth="1"/>
    <col min="8463" max="8706" width="9.140625" style="791"/>
    <col min="8707" max="8708" width="13.140625" style="791" customWidth="1"/>
    <col min="8709" max="8709" width="15.7109375" style="791" customWidth="1"/>
    <col min="8710" max="8710" width="13.140625" style="791" customWidth="1"/>
    <col min="8711" max="8711" width="17.7109375" style="791" customWidth="1"/>
    <col min="8712" max="8712" width="13.140625" style="791" customWidth="1"/>
    <col min="8713" max="8713" width="9.140625" style="791"/>
    <col min="8714" max="8718" width="0" style="791" hidden="1" customWidth="1"/>
    <col min="8719" max="8962" width="9.140625" style="791"/>
    <col min="8963" max="8964" width="13.140625" style="791" customWidth="1"/>
    <col min="8965" max="8965" width="15.7109375" style="791" customWidth="1"/>
    <col min="8966" max="8966" width="13.140625" style="791" customWidth="1"/>
    <col min="8967" max="8967" width="17.7109375" style="791" customWidth="1"/>
    <col min="8968" max="8968" width="13.140625" style="791" customWidth="1"/>
    <col min="8969" max="8969" width="9.140625" style="791"/>
    <col min="8970" max="8974" width="0" style="791" hidden="1" customWidth="1"/>
    <col min="8975" max="9218" width="9.140625" style="791"/>
    <col min="9219" max="9220" width="13.140625" style="791" customWidth="1"/>
    <col min="9221" max="9221" width="15.7109375" style="791" customWidth="1"/>
    <col min="9222" max="9222" width="13.140625" style="791" customWidth="1"/>
    <col min="9223" max="9223" width="17.7109375" style="791" customWidth="1"/>
    <col min="9224" max="9224" width="13.140625" style="791" customWidth="1"/>
    <col min="9225" max="9225" width="9.140625" style="791"/>
    <col min="9226" max="9230" width="0" style="791" hidden="1" customWidth="1"/>
    <col min="9231" max="9474" width="9.140625" style="791"/>
    <col min="9475" max="9476" width="13.140625" style="791" customWidth="1"/>
    <col min="9477" max="9477" width="15.7109375" style="791" customWidth="1"/>
    <col min="9478" max="9478" width="13.140625" style="791" customWidth="1"/>
    <col min="9479" max="9479" width="17.7109375" style="791" customWidth="1"/>
    <col min="9480" max="9480" width="13.140625" style="791" customWidth="1"/>
    <col min="9481" max="9481" width="9.140625" style="791"/>
    <col min="9482" max="9486" width="0" style="791" hidden="1" customWidth="1"/>
    <col min="9487" max="9730" width="9.140625" style="791"/>
    <col min="9731" max="9732" width="13.140625" style="791" customWidth="1"/>
    <col min="9733" max="9733" width="15.7109375" style="791" customWidth="1"/>
    <col min="9734" max="9734" width="13.140625" style="791" customWidth="1"/>
    <col min="9735" max="9735" width="17.7109375" style="791" customWidth="1"/>
    <col min="9736" max="9736" width="13.140625" style="791" customWidth="1"/>
    <col min="9737" max="9737" width="9.140625" style="791"/>
    <col min="9738" max="9742" width="0" style="791" hidden="1" customWidth="1"/>
    <col min="9743" max="9986" width="9.140625" style="791"/>
    <col min="9987" max="9988" width="13.140625" style="791" customWidth="1"/>
    <col min="9989" max="9989" width="15.7109375" style="791" customWidth="1"/>
    <col min="9990" max="9990" width="13.140625" style="791" customWidth="1"/>
    <col min="9991" max="9991" width="17.7109375" style="791" customWidth="1"/>
    <col min="9992" max="9992" width="13.140625" style="791" customWidth="1"/>
    <col min="9993" max="9993" width="9.140625" style="791"/>
    <col min="9994" max="9998" width="0" style="791" hidden="1" customWidth="1"/>
    <col min="9999" max="10242" width="9.140625" style="791"/>
    <col min="10243" max="10244" width="13.140625" style="791" customWidth="1"/>
    <col min="10245" max="10245" width="15.7109375" style="791" customWidth="1"/>
    <col min="10246" max="10246" width="13.140625" style="791" customWidth="1"/>
    <col min="10247" max="10247" width="17.7109375" style="791" customWidth="1"/>
    <col min="10248" max="10248" width="13.140625" style="791" customWidth="1"/>
    <col min="10249" max="10249" width="9.140625" style="791"/>
    <col min="10250" max="10254" width="0" style="791" hidden="1" customWidth="1"/>
    <col min="10255" max="10498" width="9.140625" style="791"/>
    <col min="10499" max="10500" width="13.140625" style="791" customWidth="1"/>
    <col min="10501" max="10501" width="15.7109375" style="791" customWidth="1"/>
    <col min="10502" max="10502" width="13.140625" style="791" customWidth="1"/>
    <col min="10503" max="10503" width="17.7109375" style="791" customWidth="1"/>
    <col min="10504" max="10504" width="13.140625" style="791" customWidth="1"/>
    <col min="10505" max="10505" width="9.140625" style="791"/>
    <col min="10506" max="10510" width="0" style="791" hidden="1" customWidth="1"/>
    <col min="10511" max="10754" width="9.140625" style="791"/>
    <col min="10755" max="10756" width="13.140625" style="791" customWidth="1"/>
    <col min="10757" max="10757" width="15.7109375" style="791" customWidth="1"/>
    <col min="10758" max="10758" width="13.140625" style="791" customWidth="1"/>
    <col min="10759" max="10759" width="17.7109375" style="791" customWidth="1"/>
    <col min="10760" max="10760" width="13.140625" style="791" customWidth="1"/>
    <col min="10761" max="10761" width="9.140625" style="791"/>
    <col min="10762" max="10766" width="0" style="791" hidden="1" customWidth="1"/>
    <col min="10767" max="11010" width="9.140625" style="791"/>
    <col min="11011" max="11012" width="13.140625" style="791" customWidth="1"/>
    <col min="11013" max="11013" width="15.7109375" style="791" customWidth="1"/>
    <col min="11014" max="11014" width="13.140625" style="791" customWidth="1"/>
    <col min="11015" max="11015" width="17.7109375" style="791" customWidth="1"/>
    <col min="11016" max="11016" width="13.140625" style="791" customWidth="1"/>
    <col min="11017" max="11017" width="9.140625" style="791"/>
    <col min="11018" max="11022" width="0" style="791" hidden="1" customWidth="1"/>
    <col min="11023" max="11266" width="9.140625" style="791"/>
    <col min="11267" max="11268" width="13.140625" style="791" customWidth="1"/>
    <col min="11269" max="11269" width="15.7109375" style="791" customWidth="1"/>
    <col min="11270" max="11270" width="13.140625" style="791" customWidth="1"/>
    <col min="11271" max="11271" width="17.7109375" style="791" customWidth="1"/>
    <col min="11272" max="11272" width="13.140625" style="791" customWidth="1"/>
    <col min="11273" max="11273" width="9.140625" style="791"/>
    <col min="11274" max="11278" width="0" style="791" hidden="1" customWidth="1"/>
    <col min="11279" max="11522" width="9.140625" style="791"/>
    <col min="11523" max="11524" width="13.140625" style="791" customWidth="1"/>
    <col min="11525" max="11525" width="15.7109375" style="791" customWidth="1"/>
    <col min="11526" max="11526" width="13.140625" style="791" customWidth="1"/>
    <col min="11527" max="11527" width="17.7109375" style="791" customWidth="1"/>
    <col min="11528" max="11528" width="13.140625" style="791" customWidth="1"/>
    <col min="11529" max="11529" width="9.140625" style="791"/>
    <col min="11530" max="11534" width="0" style="791" hidden="1" customWidth="1"/>
    <col min="11535" max="11778" width="9.140625" style="791"/>
    <col min="11779" max="11780" width="13.140625" style="791" customWidth="1"/>
    <col min="11781" max="11781" width="15.7109375" style="791" customWidth="1"/>
    <col min="11782" max="11782" width="13.140625" style="791" customWidth="1"/>
    <col min="11783" max="11783" width="17.7109375" style="791" customWidth="1"/>
    <col min="11784" max="11784" width="13.140625" style="791" customWidth="1"/>
    <col min="11785" max="11785" width="9.140625" style="791"/>
    <col min="11786" max="11790" width="0" style="791" hidden="1" customWidth="1"/>
    <col min="11791" max="12034" width="9.140625" style="791"/>
    <col min="12035" max="12036" width="13.140625" style="791" customWidth="1"/>
    <col min="12037" max="12037" width="15.7109375" style="791" customWidth="1"/>
    <col min="12038" max="12038" width="13.140625" style="791" customWidth="1"/>
    <col min="12039" max="12039" width="17.7109375" style="791" customWidth="1"/>
    <col min="12040" max="12040" width="13.140625" style="791" customWidth="1"/>
    <col min="12041" max="12041" width="9.140625" style="791"/>
    <col min="12042" max="12046" width="0" style="791" hidden="1" customWidth="1"/>
    <col min="12047" max="12290" width="9.140625" style="791"/>
    <col min="12291" max="12292" width="13.140625" style="791" customWidth="1"/>
    <col min="12293" max="12293" width="15.7109375" style="791" customWidth="1"/>
    <col min="12294" max="12294" width="13.140625" style="791" customWidth="1"/>
    <col min="12295" max="12295" width="17.7109375" style="791" customWidth="1"/>
    <col min="12296" max="12296" width="13.140625" style="791" customWidth="1"/>
    <col min="12297" max="12297" width="9.140625" style="791"/>
    <col min="12298" max="12302" width="0" style="791" hidden="1" customWidth="1"/>
    <col min="12303" max="12546" width="9.140625" style="791"/>
    <col min="12547" max="12548" width="13.140625" style="791" customWidth="1"/>
    <col min="12549" max="12549" width="15.7109375" style="791" customWidth="1"/>
    <col min="12550" max="12550" width="13.140625" style="791" customWidth="1"/>
    <col min="12551" max="12551" width="17.7109375" style="791" customWidth="1"/>
    <col min="12552" max="12552" width="13.140625" style="791" customWidth="1"/>
    <col min="12553" max="12553" width="9.140625" style="791"/>
    <col min="12554" max="12558" width="0" style="791" hidden="1" customWidth="1"/>
    <col min="12559" max="12802" width="9.140625" style="791"/>
    <col min="12803" max="12804" width="13.140625" style="791" customWidth="1"/>
    <col min="12805" max="12805" width="15.7109375" style="791" customWidth="1"/>
    <col min="12806" max="12806" width="13.140625" style="791" customWidth="1"/>
    <col min="12807" max="12807" width="17.7109375" style="791" customWidth="1"/>
    <col min="12808" max="12808" width="13.140625" style="791" customWidth="1"/>
    <col min="12809" max="12809" width="9.140625" style="791"/>
    <col min="12810" max="12814" width="0" style="791" hidden="1" customWidth="1"/>
    <col min="12815" max="13058" width="9.140625" style="791"/>
    <col min="13059" max="13060" width="13.140625" style="791" customWidth="1"/>
    <col min="13061" max="13061" width="15.7109375" style="791" customWidth="1"/>
    <col min="13062" max="13062" width="13.140625" style="791" customWidth="1"/>
    <col min="13063" max="13063" width="17.7109375" style="791" customWidth="1"/>
    <col min="13064" max="13064" width="13.140625" style="791" customWidth="1"/>
    <col min="13065" max="13065" width="9.140625" style="791"/>
    <col min="13066" max="13070" width="0" style="791" hidden="1" customWidth="1"/>
    <col min="13071" max="13314" width="9.140625" style="791"/>
    <col min="13315" max="13316" width="13.140625" style="791" customWidth="1"/>
    <col min="13317" max="13317" width="15.7109375" style="791" customWidth="1"/>
    <col min="13318" max="13318" width="13.140625" style="791" customWidth="1"/>
    <col min="13319" max="13319" width="17.7109375" style="791" customWidth="1"/>
    <col min="13320" max="13320" width="13.140625" style="791" customWidth="1"/>
    <col min="13321" max="13321" width="9.140625" style="791"/>
    <col min="13322" max="13326" width="0" style="791" hidden="1" customWidth="1"/>
    <col min="13327" max="13570" width="9.140625" style="791"/>
    <col min="13571" max="13572" width="13.140625" style="791" customWidth="1"/>
    <col min="13573" max="13573" width="15.7109375" style="791" customWidth="1"/>
    <col min="13574" max="13574" width="13.140625" style="791" customWidth="1"/>
    <col min="13575" max="13575" width="17.7109375" style="791" customWidth="1"/>
    <col min="13576" max="13576" width="13.140625" style="791" customWidth="1"/>
    <col min="13577" max="13577" width="9.140625" style="791"/>
    <col min="13578" max="13582" width="0" style="791" hidden="1" customWidth="1"/>
    <col min="13583" max="13826" width="9.140625" style="791"/>
    <col min="13827" max="13828" width="13.140625" style="791" customWidth="1"/>
    <col min="13829" max="13829" width="15.7109375" style="791" customWidth="1"/>
    <col min="13830" max="13830" width="13.140625" style="791" customWidth="1"/>
    <col min="13831" max="13831" width="17.7109375" style="791" customWidth="1"/>
    <col min="13832" max="13832" width="13.140625" style="791" customWidth="1"/>
    <col min="13833" max="13833" width="9.140625" style="791"/>
    <col min="13834" max="13838" width="0" style="791" hidden="1" customWidth="1"/>
    <col min="13839" max="14082" width="9.140625" style="791"/>
    <col min="14083" max="14084" width="13.140625" style="791" customWidth="1"/>
    <col min="14085" max="14085" width="15.7109375" style="791" customWidth="1"/>
    <col min="14086" max="14086" width="13.140625" style="791" customWidth="1"/>
    <col min="14087" max="14087" width="17.7109375" style="791" customWidth="1"/>
    <col min="14088" max="14088" width="13.140625" style="791" customWidth="1"/>
    <col min="14089" max="14089" width="9.140625" style="791"/>
    <col min="14090" max="14094" width="0" style="791" hidden="1" customWidth="1"/>
    <col min="14095" max="14338" width="9.140625" style="791"/>
    <col min="14339" max="14340" width="13.140625" style="791" customWidth="1"/>
    <col min="14341" max="14341" width="15.7109375" style="791" customWidth="1"/>
    <col min="14342" max="14342" width="13.140625" style="791" customWidth="1"/>
    <col min="14343" max="14343" width="17.7109375" style="791" customWidth="1"/>
    <col min="14344" max="14344" width="13.140625" style="791" customWidth="1"/>
    <col min="14345" max="14345" width="9.140625" style="791"/>
    <col min="14346" max="14350" width="0" style="791" hidden="1" customWidth="1"/>
    <col min="14351" max="14594" width="9.140625" style="791"/>
    <col min="14595" max="14596" width="13.140625" style="791" customWidth="1"/>
    <col min="14597" max="14597" width="15.7109375" style="791" customWidth="1"/>
    <col min="14598" max="14598" width="13.140625" style="791" customWidth="1"/>
    <col min="14599" max="14599" width="17.7109375" style="791" customWidth="1"/>
    <col min="14600" max="14600" width="13.140625" style="791" customWidth="1"/>
    <col min="14601" max="14601" width="9.140625" style="791"/>
    <col min="14602" max="14606" width="0" style="791" hidden="1" customWidth="1"/>
    <col min="14607" max="14850" width="9.140625" style="791"/>
    <col min="14851" max="14852" width="13.140625" style="791" customWidth="1"/>
    <col min="14853" max="14853" width="15.7109375" style="791" customWidth="1"/>
    <col min="14854" max="14854" width="13.140625" style="791" customWidth="1"/>
    <col min="14855" max="14855" width="17.7109375" style="791" customWidth="1"/>
    <col min="14856" max="14856" width="13.140625" style="791" customWidth="1"/>
    <col min="14857" max="14857" width="9.140625" style="791"/>
    <col min="14858" max="14862" width="0" style="791" hidden="1" customWidth="1"/>
    <col min="14863" max="15106" width="9.140625" style="791"/>
    <col min="15107" max="15108" width="13.140625" style="791" customWidth="1"/>
    <col min="15109" max="15109" width="15.7109375" style="791" customWidth="1"/>
    <col min="15110" max="15110" width="13.140625" style="791" customWidth="1"/>
    <col min="15111" max="15111" width="17.7109375" style="791" customWidth="1"/>
    <col min="15112" max="15112" width="13.140625" style="791" customWidth="1"/>
    <col min="15113" max="15113" width="9.140625" style="791"/>
    <col min="15114" max="15118" width="0" style="791" hidden="1" customWidth="1"/>
    <col min="15119" max="15362" width="9.140625" style="791"/>
    <col min="15363" max="15364" width="13.140625" style="791" customWidth="1"/>
    <col min="15365" max="15365" width="15.7109375" style="791" customWidth="1"/>
    <col min="15366" max="15366" width="13.140625" style="791" customWidth="1"/>
    <col min="15367" max="15367" width="17.7109375" style="791" customWidth="1"/>
    <col min="15368" max="15368" width="13.140625" style="791" customWidth="1"/>
    <col min="15369" max="15369" width="9.140625" style="791"/>
    <col min="15370" max="15374" width="0" style="791" hidden="1" customWidth="1"/>
    <col min="15375" max="15618" width="9.140625" style="791"/>
    <col min="15619" max="15620" width="13.140625" style="791" customWidth="1"/>
    <col min="15621" max="15621" width="15.7109375" style="791" customWidth="1"/>
    <col min="15622" max="15622" width="13.140625" style="791" customWidth="1"/>
    <col min="15623" max="15623" width="17.7109375" style="791" customWidth="1"/>
    <col min="15624" max="15624" width="13.140625" style="791" customWidth="1"/>
    <col min="15625" max="15625" width="9.140625" style="791"/>
    <col min="15626" max="15630" width="0" style="791" hidden="1" customWidth="1"/>
    <col min="15631" max="15874" width="9.140625" style="791"/>
    <col min="15875" max="15876" width="13.140625" style="791" customWidth="1"/>
    <col min="15877" max="15877" width="15.7109375" style="791" customWidth="1"/>
    <col min="15878" max="15878" width="13.140625" style="791" customWidth="1"/>
    <col min="15879" max="15879" width="17.7109375" style="791" customWidth="1"/>
    <col min="15880" max="15880" width="13.140625" style="791" customWidth="1"/>
    <col min="15881" max="15881" width="9.140625" style="791"/>
    <col min="15882" max="15886" width="0" style="791" hidden="1" customWidth="1"/>
    <col min="15887" max="16130" width="9.140625" style="791"/>
    <col min="16131" max="16132" width="13.140625" style="791" customWidth="1"/>
    <col min="16133" max="16133" width="15.7109375" style="791" customWidth="1"/>
    <col min="16134" max="16134" width="13.140625" style="791" customWidth="1"/>
    <col min="16135" max="16135" width="17.7109375" style="791" customWidth="1"/>
    <col min="16136" max="16136" width="13.140625" style="791" customWidth="1"/>
    <col min="16137" max="16137" width="9.140625" style="791"/>
    <col min="16138" max="16142" width="0" style="791" hidden="1" customWidth="1"/>
    <col min="16143" max="16384" width="9.140625" style="791"/>
  </cols>
  <sheetData>
    <row r="1" spans="1:14" x14ac:dyDescent="0.2">
      <c r="B1" s="862"/>
      <c r="C1" s="860"/>
      <c r="D1" s="860"/>
      <c r="E1" s="861" t="s">
        <v>529</v>
      </c>
      <c r="F1" s="860"/>
      <c r="G1" s="859" t="s">
        <v>528</v>
      </c>
      <c r="H1" s="858" t="s">
        <v>526</v>
      </c>
      <c r="I1" s="848"/>
      <c r="J1" s="793">
        <f>MONTH(A12)</f>
        <v>12</v>
      </c>
      <c r="K1" s="793">
        <f>IF(J1&gt;6,1,0)</f>
        <v>1</v>
      </c>
      <c r="L1" s="793" t="s">
        <v>527</v>
      </c>
      <c r="N1" s="857">
        <f>DATE(YEAR([2]Review!$C$7),MONTH([2]Review!$C$7),DAY([2]Review!$C$7))</f>
        <v>44545</v>
      </c>
    </row>
    <row r="2" spans="1:14" x14ac:dyDescent="0.2">
      <c r="A2" s="856">
        <f>[2]Review!C5</f>
        <v>0</v>
      </c>
      <c r="B2" s="819"/>
      <c r="C2" s="855"/>
      <c r="D2" s="854"/>
      <c r="E2" s="853">
        <f>[2]Review!C6</f>
        <v>238305000</v>
      </c>
      <c r="F2" s="818"/>
      <c r="G2" s="818"/>
      <c r="H2" s="818"/>
      <c r="I2" s="798"/>
      <c r="J2" s="793"/>
      <c r="K2" s="793">
        <f>IF(H1="Bond Year",1,0)</f>
        <v>0</v>
      </c>
      <c r="L2" s="793" t="s">
        <v>526</v>
      </c>
    </row>
    <row r="3" spans="1:14" ht="12" thickBot="1" x14ac:dyDescent="0.25">
      <c r="A3" s="818"/>
      <c r="B3" s="819"/>
      <c r="C3" s="818"/>
      <c r="D3" s="818"/>
      <c r="E3" s="818"/>
      <c r="F3" s="818"/>
      <c r="G3" s="818"/>
      <c r="H3" s="818"/>
      <c r="I3" s="798"/>
      <c r="J3" s="793"/>
      <c r="K3" s="793">
        <f>SUM(K1:K2)</f>
        <v>1</v>
      </c>
      <c r="L3" s="793"/>
    </row>
    <row r="4" spans="1:14" x14ac:dyDescent="0.2">
      <c r="A4" s="852"/>
      <c r="B4" s="851"/>
      <c r="C4" s="849"/>
      <c r="D4" s="850"/>
      <c r="E4" s="849"/>
      <c r="F4" s="849"/>
      <c r="G4" s="849"/>
      <c r="H4" s="848"/>
      <c r="I4" s="798"/>
      <c r="J4" s="793"/>
      <c r="K4" s="793"/>
      <c r="L4" s="793"/>
    </row>
    <row r="5" spans="1:14" x14ac:dyDescent="0.2">
      <c r="A5" s="847" t="s">
        <v>525</v>
      </c>
      <c r="B5" s="846"/>
      <c r="C5" s="845">
        <v>44454</v>
      </c>
      <c r="D5" s="835"/>
      <c r="E5" s="834" t="s">
        <v>524</v>
      </c>
      <c r="F5" s="844">
        <v>3654000</v>
      </c>
      <c r="G5" s="843" t="s">
        <v>523</v>
      </c>
      <c r="H5" s="842">
        <f>IF(K3=1,(SUM(G12:G100)/F8),(SUM(F12:F100)/F8))</f>
        <v>361213.90499999997</v>
      </c>
      <c r="I5" s="798"/>
      <c r="J5" s="793"/>
      <c r="K5" s="793"/>
      <c r="L5" s="793"/>
    </row>
    <row r="6" spans="1:14" ht="10.5" customHeight="1" x14ac:dyDescent="0.2">
      <c r="A6" s="838" t="s">
        <v>522</v>
      </c>
      <c r="B6" s="837"/>
      <c r="C6" s="836">
        <v>44545</v>
      </c>
      <c r="D6" s="835"/>
      <c r="E6" s="834" t="s">
        <v>521</v>
      </c>
      <c r="F6" s="841">
        <v>5000</v>
      </c>
      <c r="G6" s="840" t="s">
        <v>520</v>
      </c>
      <c r="H6" s="839"/>
      <c r="I6" s="798"/>
      <c r="J6" s="793"/>
      <c r="K6" s="793"/>
      <c r="L6" s="793"/>
    </row>
    <row r="7" spans="1:14" ht="18.75" customHeight="1" x14ac:dyDescent="0.2">
      <c r="A7" s="838" t="s">
        <v>519</v>
      </c>
      <c r="B7" s="837"/>
      <c r="C7" s="836">
        <v>48014</v>
      </c>
      <c r="D7" s="835"/>
      <c r="E7" s="834" t="s">
        <v>518</v>
      </c>
      <c r="F7" s="833">
        <v>360</v>
      </c>
      <c r="G7" s="832" t="s">
        <v>517</v>
      </c>
      <c r="H7" s="831">
        <f>H5*125%</f>
        <v>451517.38124999998</v>
      </c>
      <c r="I7" s="798"/>
      <c r="J7" s="830" t="s">
        <v>516</v>
      </c>
      <c r="K7" s="830"/>
      <c r="L7" s="793"/>
    </row>
    <row r="8" spans="1:14" ht="12" thickBot="1" x14ac:dyDescent="0.25">
      <c r="A8" s="829" t="s">
        <v>515</v>
      </c>
      <c r="B8" s="828"/>
      <c r="C8" s="827">
        <f>IF(K3=1,VLOOKUP(N1,A:N,13,FALSE),VLOOKUP(N1,A:M,12,FALSE))</f>
        <v>402602.95</v>
      </c>
      <c r="D8" s="826" t="s">
        <v>514</v>
      </c>
      <c r="E8" s="825"/>
      <c r="F8" s="824">
        <f>IF(K3=1,COUNT(G12:G100),COUNT(F12:F100))</f>
        <v>10</v>
      </c>
      <c r="G8" s="823" t="s">
        <v>513</v>
      </c>
      <c r="H8" s="822">
        <f>IF([2]Review!C9&gt;0,[2]Review!C9*0.1,F5*0.1)</f>
        <v>365400</v>
      </c>
      <c r="I8" s="798"/>
      <c r="J8" s="821"/>
      <c r="K8" s="820"/>
      <c r="L8" s="793"/>
    </row>
    <row r="9" spans="1:14" x14ac:dyDescent="0.2">
      <c r="A9" s="818"/>
      <c r="B9" s="819"/>
      <c r="C9" s="818"/>
      <c r="D9" s="818"/>
      <c r="E9" s="818"/>
      <c r="F9" s="818"/>
      <c r="G9" s="818"/>
      <c r="H9" s="818"/>
      <c r="I9" s="798"/>
      <c r="J9" s="812" t="s">
        <v>512</v>
      </c>
      <c r="K9" s="812" t="s">
        <v>511</v>
      </c>
      <c r="L9" s="793"/>
    </row>
    <row r="10" spans="1:14" x14ac:dyDescent="0.2">
      <c r="A10" s="815"/>
      <c r="B10" s="817"/>
      <c r="C10" s="815"/>
      <c r="D10" s="816"/>
      <c r="E10" s="815"/>
      <c r="F10" s="814" t="s">
        <v>510</v>
      </c>
      <c r="G10" s="814" t="s">
        <v>510</v>
      </c>
      <c r="H10" s="813" t="s">
        <v>509</v>
      </c>
      <c r="I10" s="798"/>
      <c r="J10" s="812" t="s">
        <v>508</v>
      </c>
      <c r="K10" s="812" t="s">
        <v>507</v>
      </c>
      <c r="L10" s="793"/>
    </row>
    <row r="11" spans="1:14" x14ac:dyDescent="0.2">
      <c r="A11" s="811" t="s">
        <v>506</v>
      </c>
      <c r="B11" s="810" t="s">
        <v>505</v>
      </c>
      <c r="C11" s="807" t="s">
        <v>504</v>
      </c>
      <c r="D11" s="809" t="s">
        <v>503</v>
      </c>
      <c r="E11" s="807" t="s">
        <v>502</v>
      </c>
      <c r="F11" s="808" t="s">
        <v>502</v>
      </c>
      <c r="G11" s="808" t="s">
        <v>502</v>
      </c>
      <c r="H11" s="807" t="s">
        <v>501</v>
      </c>
      <c r="I11" s="798"/>
      <c r="J11" s="806" t="s">
        <v>500</v>
      </c>
      <c r="K11" s="806" t="s">
        <v>500</v>
      </c>
      <c r="L11" s="793"/>
    </row>
    <row r="12" spans="1:14" x14ac:dyDescent="0.2">
      <c r="A12" s="805">
        <f>C6</f>
        <v>44545</v>
      </c>
      <c r="B12" s="802"/>
      <c r="C12" s="801"/>
      <c r="D12" s="800">
        <f>IF(SUM(J12:$J$100)=0,SUM(K12:$K$100),SUM(J12:J100))</f>
        <v>14661.674999999996</v>
      </c>
      <c r="E12" s="799">
        <f t="shared" ref="E12:E43" si="0">IF(A12="","",C12+D12)</f>
        <v>14661.674999999996</v>
      </c>
      <c r="F12" s="799"/>
      <c r="G12" s="799">
        <f>IF(A12="","",SUM(E11:E12))</f>
        <v>14661.674999999996</v>
      </c>
      <c r="H12" s="799">
        <f>IF($C$101-C12=0,"",$C$101-C12)</f>
        <v>3654000</v>
      </c>
      <c r="I12" s="798"/>
      <c r="J12" s="797">
        <f t="shared" ref="J12:J43" si="1">IF(A12="","",C12*B12*DAYS360($C$5,$C$6)/$F$7)</f>
        <v>0</v>
      </c>
      <c r="K12" s="797">
        <f>IF(A12="","",C12*B12/2)</f>
        <v>0</v>
      </c>
      <c r="L12" s="794">
        <f>MAX(F12:$F$100)</f>
        <v>405475.9</v>
      </c>
      <c r="M12" s="794">
        <f>MAX(G12:$G$100)</f>
        <v>402602.95</v>
      </c>
    </row>
    <row r="13" spans="1:14" x14ac:dyDescent="0.2">
      <c r="A13" s="803">
        <f t="shared" ref="A13:A44" si="2">IF(A12&lt;$C$7,DATE(YEAR(A12),MONTH(A12)+6,DAY(A12)),"")</f>
        <v>44727</v>
      </c>
      <c r="B13" s="802">
        <v>1.6049999999999998E-2</v>
      </c>
      <c r="C13" s="804">
        <v>346000</v>
      </c>
      <c r="D13" s="800">
        <f>IF(SUM(K13:$K$100)=0,"",SUM(K13:$K$100))</f>
        <v>29323.35</v>
      </c>
      <c r="E13" s="799">
        <f t="shared" si="0"/>
        <v>375323.35</v>
      </c>
      <c r="F13" s="799">
        <f>IF(A13="","",SUM(E12:E13))</f>
        <v>389985.02499999997</v>
      </c>
      <c r="G13" s="799" t="s">
        <v>409</v>
      </c>
      <c r="H13" s="799">
        <f>IF($C$101="","",H12-C13)</f>
        <v>3308000</v>
      </c>
      <c r="I13" s="798"/>
      <c r="J13" s="797">
        <f t="shared" si="1"/>
        <v>1388.3249999999998</v>
      </c>
      <c r="K13" s="797">
        <f t="shared" ref="K13:K44" si="3">IF(A13="","",C13*B13/360*DAYS360(A12,A13))</f>
        <v>2776.6499999999996</v>
      </c>
      <c r="L13" s="794">
        <f>MAX(F13:$F$100)</f>
        <v>405475.9</v>
      </c>
      <c r="M13" s="794">
        <f>MAX(G13:$G$100)</f>
        <v>402602.95</v>
      </c>
    </row>
    <row r="14" spans="1:14" x14ac:dyDescent="0.2">
      <c r="A14" s="803">
        <f t="shared" si="2"/>
        <v>44910</v>
      </c>
      <c r="B14" s="802"/>
      <c r="C14" s="801"/>
      <c r="D14" s="800">
        <f>IF(SUM(K14:$K$100)=0,"",SUM(K14:$K$100))</f>
        <v>26546.699999999997</v>
      </c>
      <c r="E14" s="799">
        <f t="shared" si="0"/>
        <v>26546.699999999997</v>
      </c>
      <c r="F14" s="799"/>
      <c r="G14" s="799">
        <f>IF(A14="","",SUM(E13:E14))</f>
        <v>401870.05</v>
      </c>
      <c r="H14" s="799">
        <f>IF($C$101="","",H13-C14)</f>
        <v>3308000</v>
      </c>
      <c r="I14" s="798"/>
      <c r="J14" s="797">
        <f t="shared" si="1"/>
        <v>0</v>
      </c>
      <c r="K14" s="797">
        <f t="shared" si="3"/>
        <v>0</v>
      </c>
      <c r="L14" s="794">
        <f>MAX(F14:$F$100)</f>
        <v>405475.9</v>
      </c>
      <c r="M14" s="794">
        <f>MAX(G14:$G$100)</f>
        <v>402602.95</v>
      </c>
    </row>
    <row r="15" spans="1:14" x14ac:dyDescent="0.2">
      <c r="A15" s="803">
        <f t="shared" si="2"/>
        <v>45092</v>
      </c>
      <c r="B15" s="802">
        <v>1.6049999999999998E-2</v>
      </c>
      <c r="C15" s="804">
        <v>350000</v>
      </c>
      <c r="D15" s="800">
        <f>IF(SUM(K15:$K$100)=0,"",SUM(K15:$K$100))</f>
        <v>26546.699999999997</v>
      </c>
      <c r="E15" s="799">
        <f t="shared" si="0"/>
        <v>376546.7</v>
      </c>
      <c r="F15" s="799">
        <f>IF(A15="","",SUM(E14:E15))</f>
        <v>403093.4</v>
      </c>
      <c r="G15" s="799" t="s">
        <v>409</v>
      </c>
      <c r="H15" s="799">
        <f t="shared" ref="H15:H46" si="4">IF(A15="","",H14-C15)</f>
        <v>2958000</v>
      </c>
      <c r="I15" s="798"/>
      <c r="J15" s="797">
        <f t="shared" si="1"/>
        <v>1404.3749999999998</v>
      </c>
      <c r="K15" s="797">
        <f t="shared" si="3"/>
        <v>2808.7499999999995</v>
      </c>
      <c r="L15" s="794">
        <f>MAX(F15:$F$100)</f>
        <v>405475.9</v>
      </c>
      <c r="M15" s="794">
        <f>MAX(G15:$G$100)</f>
        <v>402602.95</v>
      </c>
    </row>
    <row r="16" spans="1:14" x14ac:dyDescent="0.2">
      <c r="A16" s="803">
        <f t="shared" si="2"/>
        <v>45275</v>
      </c>
      <c r="B16" s="802"/>
      <c r="C16" s="801"/>
      <c r="D16" s="800">
        <f>IF(SUM(K16:$K$100)=0,"",SUM(K16:$K$100))</f>
        <v>23737.949999999997</v>
      </c>
      <c r="E16" s="799">
        <f t="shared" si="0"/>
        <v>23737.949999999997</v>
      </c>
      <c r="F16" s="799"/>
      <c r="G16" s="799">
        <f>IF(A16="","",SUM(E15:E16))</f>
        <v>400284.65</v>
      </c>
      <c r="H16" s="799">
        <f t="shared" si="4"/>
        <v>2958000</v>
      </c>
      <c r="I16" s="798"/>
      <c r="J16" s="797">
        <f t="shared" si="1"/>
        <v>0</v>
      </c>
      <c r="K16" s="797">
        <f t="shared" si="3"/>
        <v>0</v>
      </c>
      <c r="L16" s="794">
        <f>MAX(F16:$F$100)</f>
        <v>405475.9</v>
      </c>
      <c r="M16" s="794">
        <f>MAX(G16:$G$100)</f>
        <v>402602.95</v>
      </c>
    </row>
    <row r="17" spans="1:13" x14ac:dyDescent="0.2">
      <c r="A17" s="803">
        <f t="shared" si="2"/>
        <v>45458</v>
      </c>
      <c r="B17" s="802">
        <v>1.6049999999999998E-2</v>
      </c>
      <c r="C17" s="804">
        <v>358000</v>
      </c>
      <c r="D17" s="800">
        <f>IF(SUM(K17:$K$100)=0,"",SUM(K17:$K$100))</f>
        <v>23737.949999999997</v>
      </c>
      <c r="E17" s="799">
        <f t="shared" si="0"/>
        <v>381737.95</v>
      </c>
      <c r="F17" s="799">
        <f>IF(A17="","",SUM(E16:E17))</f>
        <v>405475.9</v>
      </c>
      <c r="G17" s="799" t="s">
        <v>409</v>
      </c>
      <c r="H17" s="799">
        <f t="shared" si="4"/>
        <v>2600000</v>
      </c>
      <c r="I17" s="798"/>
      <c r="J17" s="797">
        <f t="shared" si="1"/>
        <v>1436.4749999999999</v>
      </c>
      <c r="K17" s="797">
        <f t="shared" si="3"/>
        <v>2872.95</v>
      </c>
      <c r="L17" s="794">
        <f>MAX(F17:$F$100)</f>
        <v>405475.9</v>
      </c>
      <c r="M17" s="794">
        <f>MAX(G17:$G$100)</f>
        <v>402602.95</v>
      </c>
    </row>
    <row r="18" spans="1:13" x14ac:dyDescent="0.2">
      <c r="A18" s="803">
        <f t="shared" si="2"/>
        <v>45641</v>
      </c>
      <c r="B18" s="802"/>
      <c r="C18" s="801"/>
      <c r="D18" s="800">
        <f>IF(SUM(K18:$K$100)=0,"",SUM(K18:$K$100))</f>
        <v>20864.999999999993</v>
      </c>
      <c r="E18" s="799">
        <f t="shared" si="0"/>
        <v>20864.999999999993</v>
      </c>
      <c r="F18" s="799"/>
      <c r="G18" s="799">
        <f>IF(A18="","",SUM(E17:E18))</f>
        <v>402602.95</v>
      </c>
      <c r="H18" s="799">
        <f t="shared" si="4"/>
        <v>2600000</v>
      </c>
      <c r="I18" s="798"/>
      <c r="J18" s="797">
        <f t="shared" si="1"/>
        <v>0</v>
      </c>
      <c r="K18" s="797">
        <f t="shared" si="3"/>
        <v>0</v>
      </c>
      <c r="L18" s="794">
        <f>MAX(F18:$F$100)</f>
        <v>404968.05000000005</v>
      </c>
      <c r="M18" s="794">
        <f>MAX(G18:$G$100)</f>
        <v>402602.95</v>
      </c>
    </row>
    <row r="19" spans="1:13" x14ac:dyDescent="0.2">
      <c r="A19" s="803">
        <f t="shared" si="2"/>
        <v>45823</v>
      </c>
      <c r="B19" s="802">
        <v>1.6049999999999998E-2</v>
      </c>
      <c r="C19" s="804">
        <v>359000</v>
      </c>
      <c r="D19" s="800">
        <f>IF(SUM(K19:$K$100)=0,"",SUM(K19:$K$100))</f>
        <v>20864.999999999993</v>
      </c>
      <c r="E19" s="799">
        <f t="shared" si="0"/>
        <v>379865</v>
      </c>
      <c r="F19" s="799">
        <f>IF(A19="","",SUM(E18:E19))</f>
        <v>400730</v>
      </c>
      <c r="G19" s="799" t="s">
        <v>409</v>
      </c>
      <c r="H19" s="799">
        <f t="shared" si="4"/>
        <v>2241000</v>
      </c>
      <c r="I19" s="798"/>
      <c r="J19" s="797">
        <f t="shared" si="1"/>
        <v>1440.4875</v>
      </c>
      <c r="K19" s="797">
        <f t="shared" si="3"/>
        <v>2880.9749999999999</v>
      </c>
      <c r="L19" s="794">
        <f>MAX(F19:$F$100)</f>
        <v>404968.05000000005</v>
      </c>
      <c r="M19" s="794">
        <f>MAX(G19:$G$100)</f>
        <v>402006.82500000001</v>
      </c>
    </row>
    <row r="20" spans="1:13" x14ac:dyDescent="0.2">
      <c r="A20" s="803">
        <f t="shared" si="2"/>
        <v>46006</v>
      </c>
      <c r="B20" s="802"/>
      <c r="C20" s="801"/>
      <c r="D20" s="800">
        <f>IF(SUM(K20:$K$100)=0,"",SUM(K20:$K$100))</f>
        <v>17984.024999999994</v>
      </c>
      <c r="E20" s="799">
        <f t="shared" si="0"/>
        <v>17984.024999999994</v>
      </c>
      <c r="F20" s="799"/>
      <c r="G20" s="799">
        <f>IF(A20="","",SUM(E19:E20))</f>
        <v>397849.02500000002</v>
      </c>
      <c r="H20" s="799">
        <f t="shared" si="4"/>
        <v>2241000</v>
      </c>
      <c r="I20" s="798"/>
      <c r="J20" s="797">
        <f t="shared" si="1"/>
        <v>0</v>
      </c>
      <c r="K20" s="797">
        <f t="shared" si="3"/>
        <v>0</v>
      </c>
      <c r="L20" s="794">
        <f>MAX(F20:$F$100)</f>
        <v>404968.05000000005</v>
      </c>
      <c r="M20" s="794">
        <f>MAX(G20:$G$100)</f>
        <v>402006.82500000001</v>
      </c>
    </row>
    <row r="21" spans="1:13" x14ac:dyDescent="0.2">
      <c r="A21" s="803">
        <f t="shared" si="2"/>
        <v>46188</v>
      </c>
      <c r="B21" s="802">
        <v>1.6049999999999998E-2</v>
      </c>
      <c r="C21" s="804">
        <v>369000</v>
      </c>
      <c r="D21" s="800">
        <f>IF(SUM(K21:$K$100)=0,"",SUM(K21:$K$100))</f>
        <v>17984.024999999994</v>
      </c>
      <c r="E21" s="799">
        <f t="shared" si="0"/>
        <v>386984.02500000002</v>
      </c>
      <c r="F21" s="799">
        <f>IF(A21="","",SUM(E20:E21))</f>
        <v>404968.05000000005</v>
      </c>
      <c r="G21" s="799" t="s">
        <v>409</v>
      </c>
      <c r="H21" s="799">
        <f t="shared" si="4"/>
        <v>1872000</v>
      </c>
      <c r="I21" s="798"/>
      <c r="J21" s="797">
        <f t="shared" si="1"/>
        <v>1480.6125</v>
      </c>
      <c r="K21" s="797">
        <f t="shared" si="3"/>
        <v>2961.2249999999995</v>
      </c>
      <c r="L21" s="794">
        <f>MAX(F21:$F$100)</f>
        <v>404968.05000000005</v>
      </c>
      <c r="M21" s="794">
        <f>MAX(G21:$G$100)</f>
        <v>402006.82500000001</v>
      </c>
    </row>
    <row r="22" spans="1:13" x14ac:dyDescent="0.2">
      <c r="A22" s="803">
        <f t="shared" si="2"/>
        <v>46371</v>
      </c>
      <c r="B22" s="802"/>
      <c r="C22" s="801"/>
      <c r="D22" s="800">
        <f>IF(SUM(K22:$K$100)=0,"",SUM(K22:$K$100))</f>
        <v>15022.799999999997</v>
      </c>
      <c r="E22" s="799">
        <f t="shared" si="0"/>
        <v>15022.799999999997</v>
      </c>
      <c r="F22" s="799"/>
      <c r="G22" s="799">
        <f>IF(A22="","",SUM(E21:E22))</f>
        <v>402006.82500000001</v>
      </c>
      <c r="H22" s="799">
        <f t="shared" si="4"/>
        <v>1872000</v>
      </c>
      <c r="I22" s="798"/>
      <c r="J22" s="797">
        <f t="shared" si="1"/>
        <v>0</v>
      </c>
      <c r="K22" s="797">
        <f t="shared" si="3"/>
        <v>0</v>
      </c>
      <c r="L22" s="794">
        <f>MAX(F22:$F$100)</f>
        <v>403056.25</v>
      </c>
      <c r="M22" s="794">
        <f>MAX(G22:$G$100)</f>
        <v>402006.82500000001</v>
      </c>
    </row>
    <row r="23" spans="1:13" x14ac:dyDescent="0.2">
      <c r="A23" s="803">
        <f t="shared" si="2"/>
        <v>46553</v>
      </c>
      <c r="B23" s="802">
        <v>1.6049999999999998E-2</v>
      </c>
      <c r="C23" s="804">
        <v>371000</v>
      </c>
      <c r="D23" s="800">
        <f>IF(SUM(K23:$K$100)=0,"",SUM(K23:$K$100))</f>
        <v>15022.799999999997</v>
      </c>
      <c r="E23" s="799">
        <f t="shared" si="0"/>
        <v>386022.8</v>
      </c>
      <c r="F23" s="799">
        <f>IF(A23="","",SUM(E22:E23))</f>
        <v>401045.6</v>
      </c>
      <c r="G23" s="799" t="s">
        <v>409</v>
      </c>
      <c r="H23" s="799">
        <f t="shared" si="4"/>
        <v>1501000</v>
      </c>
      <c r="I23" s="798"/>
      <c r="J23" s="797">
        <f t="shared" si="1"/>
        <v>1488.6374999999996</v>
      </c>
      <c r="K23" s="797">
        <f t="shared" si="3"/>
        <v>2977.2749999999996</v>
      </c>
      <c r="L23" s="794">
        <f>MAX(F23:$F$100)</f>
        <v>403056.25</v>
      </c>
      <c r="M23" s="794">
        <f>MAX(G23:$G$100)</f>
        <v>399966.625</v>
      </c>
    </row>
    <row r="24" spans="1:13" x14ac:dyDescent="0.2">
      <c r="A24" s="803">
        <f t="shared" si="2"/>
        <v>46736</v>
      </c>
      <c r="B24" s="802"/>
      <c r="C24" s="801"/>
      <c r="D24" s="800">
        <f>IF(SUM(K24:$K$100)=0,"",SUM(K24:$K$100))</f>
        <v>12045.524999999998</v>
      </c>
      <c r="E24" s="799">
        <f t="shared" si="0"/>
        <v>12045.524999999998</v>
      </c>
      <c r="F24" s="799"/>
      <c r="G24" s="799">
        <f>IF(A24="","",SUM(E23:E24))</f>
        <v>398068.32500000001</v>
      </c>
      <c r="H24" s="799">
        <f t="shared" si="4"/>
        <v>1501000</v>
      </c>
      <c r="I24" s="798"/>
      <c r="J24" s="797">
        <f t="shared" si="1"/>
        <v>0</v>
      </c>
      <c r="K24" s="797">
        <f t="shared" si="3"/>
        <v>0</v>
      </c>
      <c r="L24" s="794">
        <f>MAX(F24:$F$100)</f>
        <v>403056.25</v>
      </c>
      <c r="M24" s="794">
        <f>MAX(G24:$G$100)</f>
        <v>399966.625</v>
      </c>
    </row>
    <row r="25" spans="1:13" x14ac:dyDescent="0.2">
      <c r="A25" s="803">
        <f t="shared" si="2"/>
        <v>46919</v>
      </c>
      <c r="B25" s="802">
        <v>1.6049999999999998E-2</v>
      </c>
      <c r="C25" s="804">
        <v>376000</v>
      </c>
      <c r="D25" s="800">
        <f>IF(SUM(K25:$K$100)=0,"",SUM(K25:$K$100))</f>
        <v>12045.524999999998</v>
      </c>
      <c r="E25" s="799">
        <f t="shared" si="0"/>
        <v>388045.52500000002</v>
      </c>
      <c r="F25" s="799">
        <f>IF(A25="","",SUM(E24:E25))</f>
        <v>400091.05000000005</v>
      </c>
      <c r="G25" s="799" t="s">
        <v>409</v>
      </c>
      <c r="H25" s="799">
        <f t="shared" si="4"/>
        <v>1125000</v>
      </c>
      <c r="I25" s="798"/>
      <c r="J25" s="797">
        <f t="shared" si="1"/>
        <v>1508.6999999999996</v>
      </c>
      <c r="K25" s="797">
        <f t="shared" si="3"/>
        <v>3017.3999999999996</v>
      </c>
      <c r="L25" s="794">
        <f>MAX(F25:$F$100)</f>
        <v>403056.25</v>
      </c>
      <c r="M25" s="794">
        <f>MAX(G25:$G$100)</f>
        <v>399966.625</v>
      </c>
    </row>
    <row r="26" spans="1:13" x14ac:dyDescent="0.2">
      <c r="A26" s="803">
        <f t="shared" si="2"/>
        <v>47102</v>
      </c>
      <c r="B26" s="802"/>
      <c r="C26" s="801"/>
      <c r="D26" s="800">
        <f>IF(SUM(K26:$K$100)=0,"",SUM(K26:$K$100))</f>
        <v>9028.1249999999982</v>
      </c>
      <c r="E26" s="799">
        <f t="shared" si="0"/>
        <v>9028.1249999999982</v>
      </c>
      <c r="F26" s="799"/>
      <c r="G26" s="799">
        <f>IF(A26="","",SUM(E25:E26))</f>
        <v>397073.65</v>
      </c>
      <c r="H26" s="799">
        <f t="shared" si="4"/>
        <v>1125000</v>
      </c>
      <c r="I26" s="798"/>
      <c r="J26" s="797">
        <f t="shared" si="1"/>
        <v>0</v>
      </c>
      <c r="K26" s="797">
        <f t="shared" si="3"/>
        <v>0</v>
      </c>
      <c r="L26" s="794">
        <f>MAX(F26:$F$100)</f>
        <v>403056.25</v>
      </c>
      <c r="M26" s="794">
        <f>MAX(G26:$G$100)</f>
        <v>399966.625</v>
      </c>
    </row>
    <row r="27" spans="1:13" x14ac:dyDescent="0.2">
      <c r="A27" s="803">
        <f t="shared" si="2"/>
        <v>47284</v>
      </c>
      <c r="B27" s="802">
        <v>1.6049999999999998E-2</v>
      </c>
      <c r="C27" s="804">
        <v>385000</v>
      </c>
      <c r="D27" s="800">
        <f>IF(SUM(K27:$K$100)=0,"",SUM(K27:$K$100))</f>
        <v>9028.1249999999982</v>
      </c>
      <c r="E27" s="799">
        <f t="shared" si="0"/>
        <v>394028.125</v>
      </c>
      <c r="F27" s="799">
        <f>IF(A27="","",SUM(E26:E27))</f>
        <v>403056.25</v>
      </c>
      <c r="G27" s="799" t="s">
        <v>409</v>
      </c>
      <c r="H27" s="799">
        <f t="shared" si="4"/>
        <v>740000</v>
      </c>
      <c r="I27" s="798"/>
      <c r="J27" s="797">
        <f t="shared" si="1"/>
        <v>1544.8124999999998</v>
      </c>
      <c r="K27" s="797">
        <f t="shared" si="3"/>
        <v>3089.6249999999991</v>
      </c>
      <c r="L27" s="794">
        <f>MAX(F27:$F$100)</f>
        <v>403056.25</v>
      </c>
      <c r="M27" s="794">
        <f>MAX(G27:$G$100)</f>
        <v>399966.625</v>
      </c>
    </row>
    <row r="28" spans="1:13" x14ac:dyDescent="0.2">
      <c r="A28" s="803">
        <f t="shared" si="2"/>
        <v>47467</v>
      </c>
      <c r="B28" s="802"/>
      <c r="C28" s="801"/>
      <c r="D28" s="800">
        <f>IF(SUM(K28:$K$100)=0,"",SUM(K28:$K$100))</f>
        <v>5938.4999999999991</v>
      </c>
      <c r="E28" s="799">
        <f t="shared" si="0"/>
        <v>5938.4999999999991</v>
      </c>
      <c r="F28" s="799"/>
      <c r="G28" s="799">
        <f>IF(A28="","",SUM(E27:E28))</f>
        <v>399966.625</v>
      </c>
      <c r="H28" s="799">
        <f t="shared" si="4"/>
        <v>740000</v>
      </c>
      <c r="I28" s="798"/>
      <c r="J28" s="797">
        <f t="shared" si="1"/>
        <v>0</v>
      </c>
      <c r="K28" s="797">
        <f t="shared" si="3"/>
        <v>0</v>
      </c>
      <c r="L28" s="794">
        <f>MAX(F28:$F$100)</f>
        <v>400877</v>
      </c>
      <c r="M28" s="794">
        <f>MAX(G28:$G$100)</f>
        <v>399966.625</v>
      </c>
    </row>
    <row r="29" spans="1:13" x14ac:dyDescent="0.2">
      <c r="A29" s="803">
        <f t="shared" si="2"/>
        <v>47649</v>
      </c>
      <c r="B29" s="802">
        <v>1.6049999999999998E-2</v>
      </c>
      <c r="C29" s="804">
        <v>389000</v>
      </c>
      <c r="D29" s="800">
        <f>IF(SUM(K29:$K$100)=0,"",SUM(K29:$K$100))</f>
        <v>5938.4999999999991</v>
      </c>
      <c r="E29" s="799">
        <f t="shared" si="0"/>
        <v>394938.5</v>
      </c>
      <c r="F29" s="799">
        <f>IF(A29="","",SUM(E28:E29))</f>
        <v>400877</v>
      </c>
      <c r="G29" s="799" t="s">
        <v>409</v>
      </c>
      <c r="H29" s="799">
        <f t="shared" si="4"/>
        <v>351000</v>
      </c>
      <c r="I29" s="798"/>
      <c r="J29" s="797">
        <f t="shared" si="1"/>
        <v>1560.8624999999997</v>
      </c>
      <c r="K29" s="797">
        <f t="shared" si="3"/>
        <v>3121.7249999999995</v>
      </c>
      <c r="L29" s="794">
        <f>MAX(F29:$F$100)</f>
        <v>400877</v>
      </c>
      <c r="M29" s="794">
        <f>MAX(G29:$G$100)</f>
        <v>397755.27500000002</v>
      </c>
    </row>
    <row r="30" spans="1:13" x14ac:dyDescent="0.2">
      <c r="A30" s="803">
        <f t="shared" si="2"/>
        <v>47832</v>
      </c>
      <c r="B30" s="802"/>
      <c r="C30" s="801"/>
      <c r="D30" s="800">
        <f>IF(SUM(K30:$K$100)=0,"",SUM(K30:$K$100))</f>
        <v>2816.7749999999996</v>
      </c>
      <c r="E30" s="799">
        <f t="shared" si="0"/>
        <v>2816.7749999999996</v>
      </c>
      <c r="F30" s="799"/>
      <c r="G30" s="799">
        <f>IF(A30="","",SUM(E29:E30))</f>
        <v>397755.27500000002</v>
      </c>
      <c r="H30" s="799">
        <f t="shared" si="4"/>
        <v>351000</v>
      </c>
      <c r="I30" s="798"/>
      <c r="J30" s="797">
        <f t="shared" si="1"/>
        <v>0</v>
      </c>
      <c r="K30" s="797">
        <f t="shared" si="3"/>
        <v>0</v>
      </c>
      <c r="L30" s="794">
        <f>MAX(F30:$F$100)</f>
        <v>356633.55000000005</v>
      </c>
      <c r="M30" s="794">
        <f>MAX(G30:$G$100)</f>
        <v>397755.27500000002</v>
      </c>
    </row>
    <row r="31" spans="1:13" x14ac:dyDescent="0.2">
      <c r="A31" s="803">
        <f t="shared" si="2"/>
        <v>48014</v>
      </c>
      <c r="B31" s="802">
        <v>1.6049999999999998E-2</v>
      </c>
      <c r="C31" s="801">
        <v>351000</v>
      </c>
      <c r="D31" s="800">
        <f>IF(SUM(K31:$K$100)=0,"",SUM(K31:$K$100))</f>
        <v>2816.7749999999996</v>
      </c>
      <c r="E31" s="799">
        <f t="shared" si="0"/>
        <v>353816.77500000002</v>
      </c>
      <c r="F31" s="799">
        <f>IF(A31="","",SUM(E30:E31))</f>
        <v>356633.55000000005</v>
      </c>
      <c r="G31" s="799" t="s">
        <v>409</v>
      </c>
      <c r="H31" s="799">
        <f t="shared" si="4"/>
        <v>0</v>
      </c>
      <c r="I31" s="798"/>
      <c r="J31" s="797">
        <f t="shared" si="1"/>
        <v>1408.3874999999998</v>
      </c>
      <c r="K31" s="797">
        <f t="shared" si="3"/>
        <v>2816.7749999999996</v>
      </c>
      <c r="L31" s="794">
        <f>MAX(F31:$F$100)</f>
        <v>356633.55000000005</v>
      </c>
      <c r="M31" s="794">
        <f>MAX(G31:$G$100)</f>
        <v>0</v>
      </c>
    </row>
    <row r="32" spans="1:13" x14ac:dyDescent="0.2">
      <c r="A32" s="803" t="str">
        <f t="shared" si="2"/>
        <v/>
      </c>
      <c r="B32" s="802"/>
      <c r="C32" s="801"/>
      <c r="D32" s="800" t="str">
        <f>IF(SUM(K32:$K$100)=0,"",SUM(K32:$K$100))</f>
        <v/>
      </c>
      <c r="E32" s="799" t="str">
        <f t="shared" si="0"/>
        <v/>
      </c>
      <c r="F32" s="799"/>
      <c r="G32" s="799" t="str">
        <f>IF(A32="","",SUM(E31:E32))</f>
        <v/>
      </c>
      <c r="H32" s="799" t="str">
        <f t="shared" si="4"/>
        <v/>
      </c>
      <c r="I32" s="798"/>
      <c r="J32" s="797" t="str">
        <f t="shared" si="1"/>
        <v/>
      </c>
      <c r="K32" s="797" t="str">
        <f t="shared" si="3"/>
        <v/>
      </c>
      <c r="L32" s="794">
        <f>MAX(F32:$F$100)</f>
        <v>0</v>
      </c>
      <c r="M32" s="794">
        <f>MAX(G32:$G$100)</f>
        <v>0</v>
      </c>
    </row>
    <row r="33" spans="1:13" x14ac:dyDescent="0.2">
      <c r="A33" s="803" t="str">
        <f t="shared" si="2"/>
        <v/>
      </c>
      <c r="B33" s="802"/>
      <c r="C33" s="801"/>
      <c r="D33" s="800" t="str">
        <f>IF(SUM(K33:$K$100)=0,"",SUM(K33:$K$100))</f>
        <v/>
      </c>
      <c r="E33" s="799" t="str">
        <f t="shared" si="0"/>
        <v/>
      </c>
      <c r="F33" s="799" t="str">
        <f>IF(A33="","",SUM(E32:E33))</f>
        <v/>
      </c>
      <c r="G33" s="799" t="s">
        <v>409</v>
      </c>
      <c r="H33" s="799" t="str">
        <f t="shared" si="4"/>
        <v/>
      </c>
      <c r="I33" s="798"/>
      <c r="J33" s="797" t="str">
        <f t="shared" si="1"/>
        <v/>
      </c>
      <c r="K33" s="797" t="str">
        <f t="shared" si="3"/>
        <v/>
      </c>
      <c r="L33" s="794">
        <f>MAX(F33:$F$100)</f>
        <v>0</v>
      </c>
      <c r="M33" s="794">
        <f>MAX(G33:$G$100)</f>
        <v>0</v>
      </c>
    </row>
    <row r="34" spans="1:13" x14ac:dyDescent="0.2">
      <c r="A34" s="803" t="str">
        <f t="shared" si="2"/>
        <v/>
      </c>
      <c r="B34" s="802"/>
      <c r="C34" s="801"/>
      <c r="D34" s="800" t="str">
        <f>IF(SUM(K34:$K$100)=0,"",SUM(K34:$K$100))</f>
        <v/>
      </c>
      <c r="E34" s="799" t="str">
        <f t="shared" si="0"/>
        <v/>
      </c>
      <c r="F34" s="799"/>
      <c r="G34" s="799" t="str">
        <f>IF(A34="","",SUM(E33:E34))</f>
        <v/>
      </c>
      <c r="H34" s="799" t="str">
        <f t="shared" si="4"/>
        <v/>
      </c>
      <c r="I34" s="798"/>
      <c r="J34" s="797" t="str">
        <f t="shared" si="1"/>
        <v/>
      </c>
      <c r="K34" s="797" t="str">
        <f t="shared" si="3"/>
        <v/>
      </c>
      <c r="L34" s="794">
        <f>MAX(F34:$F$100)</f>
        <v>0</v>
      </c>
      <c r="M34" s="794">
        <f>MAX(G34:$G$100)</f>
        <v>0</v>
      </c>
    </row>
    <row r="35" spans="1:13" x14ac:dyDescent="0.2">
      <c r="A35" s="803" t="str">
        <f t="shared" si="2"/>
        <v/>
      </c>
      <c r="B35" s="802"/>
      <c r="C35" s="801"/>
      <c r="D35" s="800" t="str">
        <f>IF(SUM(K35:$K$100)=0,"",SUM(K35:$K$100))</f>
        <v/>
      </c>
      <c r="E35" s="799" t="str">
        <f t="shared" si="0"/>
        <v/>
      </c>
      <c r="F35" s="799" t="str">
        <f>IF(A35="","",SUM(E34:E35))</f>
        <v/>
      </c>
      <c r="G35" s="799" t="s">
        <v>409</v>
      </c>
      <c r="H35" s="799" t="str">
        <f t="shared" si="4"/>
        <v/>
      </c>
      <c r="I35" s="798"/>
      <c r="J35" s="797" t="str">
        <f t="shared" si="1"/>
        <v/>
      </c>
      <c r="K35" s="797" t="str">
        <f t="shared" si="3"/>
        <v/>
      </c>
      <c r="L35" s="794">
        <f>MAX(F35:$F$100)</f>
        <v>0</v>
      </c>
      <c r="M35" s="794">
        <f>MAX(G35:$G$100)</f>
        <v>0</v>
      </c>
    </row>
    <row r="36" spans="1:13" x14ac:dyDescent="0.2">
      <c r="A36" s="803" t="str">
        <f t="shared" si="2"/>
        <v/>
      </c>
      <c r="B36" s="802"/>
      <c r="C36" s="801"/>
      <c r="D36" s="800" t="str">
        <f>IF(SUM(K36:$K$100)=0,"",SUM(K36:$K$100))</f>
        <v/>
      </c>
      <c r="E36" s="799" t="str">
        <f t="shared" si="0"/>
        <v/>
      </c>
      <c r="F36" s="799"/>
      <c r="G36" s="799" t="str">
        <f>IF(A36="","",SUM(E35:E36))</f>
        <v/>
      </c>
      <c r="H36" s="799" t="str">
        <f t="shared" si="4"/>
        <v/>
      </c>
      <c r="I36" s="798"/>
      <c r="J36" s="797" t="str">
        <f t="shared" si="1"/>
        <v/>
      </c>
      <c r="K36" s="797" t="str">
        <f t="shared" si="3"/>
        <v/>
      </c>
      <c r="L36" s="794">
        <f>MAX(F36:$F$100)</f>
        <v>0</v>
      </c>
      <c r="M36" s="794">
        <f>MAX(G36:$G$100)</f>
        <v>0</v>
      </c>
    </row>
    <row r="37" spans="1:13" x14ac:dyDescent="0.2">
      <c r="A37" s="803" t="str">
        <f t="shared" si="2"/>
        <v/>
      </c>
      <c r="B37" s="802"/>
      <c r="C37" s="801"/>
      <c r="D37" s="800" t="str">
        <f>IF(SUM(K37:$K$100)=0,"",SUM(K37:$K$100))</f>
        <v/>
      </c>
      <c r="E37" s="799" t="str">
        <f t="shared" si="0"/>
        <v/>
      </c>
      <c r="F37" s="799" t="str">
        <f>IF(A37="","",SUM(E36:E37))</f>
        <v/>
      </c>
      <c r="G37" s="799" t="s">
        <v>409</v>
      </c>
      <c r="H37" s="799" t="str">
        <f t="shared" si="4"/>
        <v/>
      </c>
      <c r="I37" s="798"/>
      <c r="J37" s="797" t="str">
        <f t="shared" si="1"/>
        <v/>
      </c>
      <c r="K37" s="797" t="str">
        <f t="shared" si="3"/>
        <v/>
      </c>
      <c r="L37" s="794">
        <f>MAX(F37:$F$100)</f>
        <v>0</v>
      </c>
      <c r="M37" s="794">
        <f>MAX(G37:$G$100)</f>
        <v>0</v>
      </c>
    </row>
    <row r="38" spans="1:13" x14ac:dyDescent="0.2">
      <c r="A38" s="803" t="str">
        <f t="shared" si="2"/>
        <v/>
      </c>
      <c r="B38" s="802"/>
      <c r="C38" s="801"/>
      <c r="D38" s="800" t="str">
        <f>IF(SUM(K38:$K$100)=0,"",SUM(K38:$K$100))</f>
        <v/>
      </c>
      <c r="E38" s="799" t="str">
        <f t="shared" si="0"/>
        <v/>
      </c>
      <c r="F38" s="799"/>
      <c r="G38" s="799" t="str">
        <f>IF(A38="","",SUM(E37:E38))</f>
        <v/>
      </c>
      <c r="H38" s="799" t="str">
        <f t="shared" si="4"/>
        <v/>
      </c>
      <c r="I38" s="798"/>
      <c r="J38" s="797" t="str">
        <f t="shared" si="1"/>
        <v/>
      </c>
      <c r="K38" s="797" t="str">
        <f t="shared" si="3"/>
        <v/>
      </c>
      <c r="L38" s="794">
        <f>MAX(F38:$F$100)</f>
        <v>0</v>
      </c>
      <c r="M38" s="794">
        <f>MAX(G38:$G$100)</f>
        <v>0</v>
      </c>
    </row>
    <row r="39" spans="1:13" x14ac:dyDescent="0.2">
      <c r="A39" s="803" t="str">
        <f t="shared" si="2"/>
        <v/>
      </c>
      <c r="B39" s="802"/>
      <c r="C39" s="801"/>
      <c r="D39" s="800" t="str">
        <f>IF(SUM(K39:$K$100)=0,"",SUM(K39:$K$100))</f>
        <v/>
      </c>
      <c r="E39" s="799" t="str">
        <f t="shared" si="0"/>
        <v/>
      </c>
      <c r="F39" s="799" t="str">
        <f>IF(A39="","",SUM(E38:E39))</f>
        <v/>
      </c>
      <c r="G39" s="799" t="s">
        <v>409</v>
      </c>
      <c r="H39" s="799" t="str">
        <f t="shared" si="4"/>
        <v/>
      </c>
      <c r="I39" s="798"/>
      <c r="J39" s="797" t="str">
        <f t="shared" si="1"/>
        <v/>
      </c>
      <c r="K39" s="797" t="str">
        <f t="shared" si="3"/>
        <v/>
      </c>
      <c r="L39" s="794">
        <f>MAX(F39:$F$100)</f>
        <v>0</v>
      </c>
      <c r="M39" s="794">
        <f>MAX(G39:$G$100)</f>
        <v>0</v>
      </c>
    </row>
    <row r="40" spans="1:13" x14ac:dyDescent="0.2">
      <c r="A40" s="803" t="str">
        <f t="shared" si="2"/>
        <v/>
      </c>
      <c r="B40" s="802"/>
      <c r="C40" s="801"/>
      <c r="D40" s="800" t="str">
        <f>IF(SUM(K40:$K$100)=0,"",SUM(K40:$K$100))</f>
        <v/>
      </c>
      <c r="E40" s="799" t="str">
        <f t="shared" si="0"/>
        <v/>
      </c>
      <c r="F40" s="799"/>
      <c r="G40" s="799" t="str">
        <f>IF(A40="","",SUM(E39:E40))</f>
        <v/>
      </c>
      <c r="H40" s="799" t="str">
        <f t="shared" si="4"/>
        <v/>
      </c>
      <c r="I40" s="798"/>
      <c r="J40" s="797" t="str">
        <f t="shared" si="1"/>
        <v/>
      </c>
      <c r="K40" s="797" t="str">
        <f t="shared" si="3"/>
        <v/>
      </c>
      <c r="L40" s="794">
        <f>MAX(F40:$F$100)</f>
        <v>0</v>
      </c>
      <c r="M40" s="794">
        <f>MAX(G40:$G$100)</f>
        <v>0</v>
      </c>
    </row>
    <row r="41" spans="1:13" ht="12" customHeight="1" x14ac:dyDescent="0.2">
      <c r="A41" s="803" t="str">
        <f t="shared" si="2"/>
        <v/>
      </c>
      <c r="B41" s="802"/>
      <c r="C41" s="801"/>
      <c r="D41" s="800" t="str">
        <f>IF(SUM(K41:$K$100)=0,"",SUM(K41:$K$100))</f>
        <v/>
      </c>
      <c r="E41" s="799" t="str">
        <f t="shared" si="0"/>
        <v/>
      </c>
      <c r="F41" s="799" t="str">
        <f>IF(A41="","",SUM(E40:E41))</f>
        <v/>
      </c>
      <c r="G41" s="799" t="s">
        <v>409</v>
      </c>
      <c r="H41" s="799" t="str">
        <f t="shared" si="4"/>
        <v/>
      </c>
      <c r="I41" s="798"/>
      <c r="J41" s="797" t="str">
        <f t="shared" si="1"/>
        <v/>
      </c>
      <c r="K41" s="797" t="str">
        <f t="shared" si="3"/>
        <v/>
      </c>
      <c r="L41" s="794">
        <f>MAX(F41:$F$100)</f>
        <v>0</v>
      </c>
      <c r="M41" s="794">
        <f>MAX(G41:$G$100)</f>
        <v>0</v>
      </c>
    </row>
    <row r="42" spans="1:13" ht="12" customHeight="1" x14ac:dyDescent="0.2">
      <c r="A42" s="803" t="str">
        <f t="shared" si="2"/>
        <v/>
      </c>
      <c r="B42" s="802"/>
      <c r="C42" s="801"/>
      <c r="D42" s="800" t="str">
        <f>IF(SUM(K42:$K$100)=0,"",SUM(K42:$K$100))</f>
        <v/>
      </c>
      <c r="E42" s="799" t="str">
        <f t="shared" si="0"/>
        <v/>
      </c>
      <c r="F42" s="799"/>
      <c r="G42" s="799" t="str">
        <f>IF(A42="","",SUM(E41:E42))</f>
        <v/>
      </c>
      <c r="H42" s="799" t="str">
        <f t="shared" si="4"/>
        <v/>
      </c>
      <c r="I42" s="798"/>
      <c r="J42" s="797" t="str">
        <f t="shared" si="1"/>
        <v/>
      </c>
      <c r="K42" s="797" t="str">
        <f t="shared" si="3"/>
        <v/>
      </c>
      <c r="L42" s="794">
        <f>MAX(F42:$F$100)</f>
        <v>0</v>
      </c>
      <c r="M42" s="794">
        <f>MAX(G42:$G$100)</f>
        <v>0</v>
      </c>
    </row>
    <row r="43" spans="1:13" ht="12" customHeight="1" x14ac:dyDescent="0.2">
      <c r="A43" s="803" t="str">
        <f t="shared" si="2"/>
        <v/>
      </c>
      <c r="B43" s="802"/>
      <c r="C43" s="801"/>
      <c r="D43" s="800" t="str">
        <f>IF(SUM(K43:$K$100)=0,"",SUM(K43:$K$100))</f>
        <v/>
      </c>
      <c r="E43" s="799" t="str">
        <f t="shared" si="0"/>
        <v/>
      </c>
      <c r="F43" s="799" t="str">
        <f>IF(A43="","",SUM(E42:E43))</f>
        <v/>
      </c>
      <c r="G43" s="799" t="s">
        <v>409</v>
      </c>
      <c r="H43" s="799" t="str">
        <f t="shared" si="4"/>
        <v/>
      </c>
      <c r="I43" s="798"/>
      <c r="J43" s="797" t="str">
        <f t="shared" si="1"/>
        <v/>
      </c>
      <c r="K43" s="797" t="str">
        <f t="shared" si="3"/>
        <v/>
      </c>
      <c r="L43" s="794">
        <f>MAX(F43:$F$100)</f>
        <v>0</v>
      </c>
      <c r="M43" s="794">
        <f>MAX(G43:$G$100)</f>
        <v>0</v>
      </c>
    </row>
    <row r="44" spans="1:13" ht="12" customHeight="1" x14ac:dyDescent="0.2">
      <c r="A44" s="803" t="str">
        <f t="shared" si="2"/>
        <v/>
      </c>
      <c r="B44" s="802"/>
      <c r="C44" s="801"/>
      <c r="D44" s="800" t="str">
        <f>IF(SUM(K44:$K$100)=0,"",SUM(K44:$K$100))</f>
        <v/>
      </c>
      <c r="E44" s="799" t="str">
        <f t="shared" ref="E44:E75" si="5">IF(A44="","",C44+D44)</f>
        <v/>
      </c>
      <c r="F44" s="799"/>
      <c r="G44" s="799" t="str">
        <f>IF(A44="","",SUM(E43:E44))</f>
        <v/>
      </c>
      <c r="H44" s="799" t="str">
        <f t="shared" si="4"/>
        <v/>
      </c>
      <c r="I44" s="798"/>
      <c r="J44" s="797" t="str">
        <f t="shared" ref="J44:J75" si="6">IF(A44="","",C44*B44*DAYS360($C$5,$C$6)/$F$7)</f>
        <v/>
      </c>
      <c r="K44" s="797" t="str">
        <f t="shared" si="3"/>
        <v/>
      </c>
      <c r="L44" s="794">
        <f>MAX(F44:$F$100)</f>
        <v>0</v>
      </c>
      <c r="M44" s="794">
        <f>MAX(G44:$G$100)</f>
        <v>0</v>
      </c>
    </row>
    <row r="45" spans="1:13" ht="12" customHeight="1" x14ac:dyDescent="0.2">
      <c r="A45" s="803" t="str">
        <f t="shared" ref="A45:A76" si="7">IF(A44&lt;$C$7,DATE(YEAR(A44),MONTH(A44)+6,DAY(A44)),"")</f>
        <v/>
      </c>
      <c r="B45" s="802"/>
      <c r="C45" s="801"/>
      <c r="D45" s="800" t="str">
        <f>IF(SUM(K45:$K$100)=0,"",SUM(K45:$K$100))</f>
        <v/>
      </c>
      <c r="E45" s="799" t="str">
        <f t="shared" si="5"/>
        <v/>
      </c>
      <c r="F45" s="799" t="str">
        <f>IF(A45="","",SUM(E44:E45))</f>
        <v/>
      </c>
      <c r="G45" s="799" t="s">
        <v>409</v>
      </c>
      <c r="H45" s="799" t="str">
        <f t="shared" si="4"/>
        <v/>
      </c>
      <c r="I45" s="798"/>
      <c r="J45" s="797" t="str">
        <f t="shared" si="6"/>
        <v/>
      </c>
      <c r="K45" s="797" t="str">
        <f t="shared" ref="K45:K76" si="8">IF(A45="","",C45*B45/360*DAYS360(A44,A45))</f>
        <v/>
      </c>
      <c r="L45" s="794">
        <f>MAX(F45:$F$100)</f>
        <v>0</v>
      </c>
      <c r="M45" s="794">
        <f>MAX(G45:$G$100)</f>
        <v>0</v>
      </c>
    </row>
    <row r="46" spans="1:13" ht="12" customHeight="1" x14ac:dyDescent="0.2">
      <c r="A46" s="803" t="str">
        <f t="shared" si="7"/>
        <v/>
      </c>
      <c r="B46" s="802"/>
      <c r="C46" s="801"/>
      <c r="D46" s="800" t="str">
        <f>IF(SUM(K46:$K$100)=0,"",SUM(K46:$K$100))</f>
        <v/>
      </c>
      <c r="E46" s="799" t="str">
        <f t="shared" si="5"/>
        <v/>
      </c>
      <c r="F46" s="799"/>
      <c r="G46" s="799" t="str">
        <f>IF(A46="","",SUM(E45:E46))</f>
        <v/>
      </c>
      <c r="H46" s="799" t="str">
        <f t="shared" si="4"/>
        <v/>
      </c>
      <c r="I46" s="798"/>
      <c r="J46" s="797" t="str">
        <f t="shared" si="6"/>
        <v/>
      </c>
      <c r="K46" s="797" t="str">
        <f t="shared" si="8"/>
        <v/>
      </c>
      <c r="L46" s="794">
        <f>MAX(F46:$F$100)</f>
        <v>0</v>
      </c>
      <c r="M46" s="794">
        <f>MAX(G46:$G$100)</f>
        <v>0</v>
      </c>
    </row>
    <row r="47" spans="1:13" ht="12" customHeight="1" x14ac:dyDescent="0.2">
      <c r="A47" s="803" t="str">
        <f t="shared" si="7"/>
        <v/>
      </c>
      <c r="B47" s="802"/>
      <c r="C47" s="801"/>
      <c r="D47" s="800" t="str">
        <f>IF(SUM(K47:$K$100)=0,"",SUM(K47:$K$100))</f>
        <v/>
      </c>
      <c r="E47" s="799" t="str">
        <f t="shared" si="5"/>
        <v/>
      </c>
      <c r="F47" s="799" t="str">
        <f>IF(A47="","",SUM(E46:E47))</f>
        <v/>
      </c>
      <c r="G47" s="799" t="s">
        <v>409</v>
      </c>
      <c r="H47" s="799" t="str">
        <f t="shared" ref="H47:H78" si="9">IF(A47="","",H46-C47)</f>
        <v/>
      </c>
      <c r="I47" s="798"/>
      <c r="J47" s="797" t="str">
        <f t="shared" si="6"/>
        <v/>
      </c>
      <c r="K47" s="797" t="str">
        <f t="shared" si="8"/>
        <v/>
      </c>
      <c r="L47" s="794">
        <f>MAX(F47:$F$100)</f>
        <v>0</v>
      </c>
      <c r="M47" s="794">
        <f>MAX(G47:$G$100)</f>
        <v>0</v>
      </c>
    </row>
    <row r="48" spans="1:13" ht="12" customHeight="1" x14ac:dyDescent="0.2">
      <c r="A48" s="803" t="str">
        <f t="shared" si="7"/>
        <v/>
      </c>
      <c r="B48" s="802"/>
      <c r="C48" s="801"/>
      <c r="D48" s="800" t="str">
        <f>IF(SUM(K48:$K$100)=0,"",SUM(K48:$K$100))</f>
        <v/>
      </c>
      <c r="E48" s="799" t="str">
        <f t="shared" si="5"/>
        <v/>
      </c>
      <c r="F48" s="799"/>
      <c r="G48" s="799" t="str">
        <f>IF(A48="","",SUM(E47:E48))</f>
        <v/>
      </c>
      <c r="H48" s="799" t="str">
        <f t="shared" si="9"/>
        <v/>
      </c>
      <c r="I48" s="798"/>
      <c r="J48" s="797" t="str">
        <f t="shared" si="6"/>
        <v/>
      </c>
      <c r="K48" s="797" t="str">
        <f t="shared" si="8"/>
        <v/>
      </c>
      <c r="L48" s="794">
        <f>MAX(F48:$F$100)</f>
        <v>0</v>
      </c>
      <c r="M48" s="794">
        <f>MAX(G48:$G$100)</f>
        <v>0</v>
      </c>
    </row>
    <row r="49" spans="1:13" ht="12" customHeight="1" x14ac:dyDescent="0.2">
      <c r="A49" s="803" t="str">
        <f t="shared" si="7"/>
        <v/>
      </c>
      <c r="B49" s="802"/>
      <c r="C49" s="801"/>
      <c r="D49" s="800" t="str">
        <f>IF(SUM(K49:$K$100)=0,"",SUM(K49:$K$100))</f>
        <v/>
      </c>
      <c r="E49" s="799" t="str">
        <f t="shared" si="5"/>
        <v/>
      </c>
      <c r="F49" s="799" t="str">
        <f>IF(A49="","",SUM(E48:E49))</f>
        <v/>
      </c>
      <c r="G49" s="799" t="s">
        <v>409</v>
      </c>
      <c r="H49" s="799" t="str">
        <f t="shared" si="9"/>
        <v/>
      </c>
      <c r="I49" s="798"/>
      <c r="J49" s="797" t="str">
        <f t="shared" si="6"/>
        <v/>
      </c>
      <c r="K49" s="797" t="str">
        <f t="shared" si="8"/>
        <v/>
      </c>
      <c r="L49" s="794">
        <f>MAX(F49:$F$100)</f>
        <v>0</v>
      </c>
      <c r="M49" s="794">
        <f>MAX(G49:$G$100)</f>
        <v>0</v>
      </c>
    </row>
    <row r="50" spans="1:13" ht="12" customHeight="1" x14ac:dyDescent="0.2">
      <c r="A50" s="803" t="str">
        <f t="shared" si="7"/>
        <v/>
      </c>
      <c r="B50" s="802"/>
      <c r="C50" s="801"/>
      <c r="D50" s="800" t="str">
        <f>IF(SUM(K50:$K$100)=0,"",SUM(K50:$K$100))</f>
        <v/>
      </c>
      <c r="E50" s="799" t="str">
        <f t="shared" si="5"/>
        <v/>
      </c>
      <c r="F50" s="799"/>
      <c r="G50" s="799" t="str">
        <f>IF(A50="","",SUM(E49:E50))</f>
        <v/>
      </c>
      <c r="H50" s="799" t="str">
        <f t="shared" si="9"/>
        <v/>
      </c>
      <c r="I50" s="798"/>
      <c r="J50" s="797" t="str">
        <f t="shared" si="6"/>
        <v/>
      </c>
      <c r="K50" s="797" t="str">
        <f t="shared" si="8"/>
        <v/>
      </c>
      <c r="L50" s="794">
        <f>MAX(F50:$F$100)</f>
        <v>0</v>
      </c>
      <c r="M50" s="794">
        <f>MAX(G50:$G$100)</f>
        <v>0</v>
      </c>
    </row>
    <row r="51" spans="1:13" ht="12" customHeight="1" x14ac:dyDescent="0.2">
      <c r="A51" s="803" t="str">
        <f t="shared" si="7"/>
        <v/>
      </c>
      <c r="B51" s="802"/>
      <c r="C51" s="801"/>
      <c r="D51" s="800" t="str">
        <f>IF(SUM(K51:$K$100)=0,"",SUM(K51:$K$100))</f>
        <v/>
      </c>
      <c r="E51" s="799" t="str">
        <f t="shared" si="5"/>
        <v/>
      </c>
      <c r="F51" s="799" t="str">
        <f>IF(A51="","",SUM(E50:E51))</f>
        <v/>
      </c>
      <c r="G51" s="799" t="s">
        <v>409</v>
      </c>
      <c r="H51" s="799" t="str">
        <f t="shared" si="9"/>
        <v/>
      </c>
      <c r="I51" s="798"/>
      <c r="J51" s="797" t="str">
        <f t="shared" si="6"/>
        <v/>
      </c>
      <c r="K51" s="797" t="str">
        <f t="shared" si="8"/>
        <v/>
      </c>
      <c r="L51" s="794">
        <f>MAX(F51:$F$100)</f>
        <v>0</v>
      </c>
      <c r="M51" s="794">
        <f>MAX(G51:$G$100)</f>
        <v>0</v>
      </c>
    </row>
    <row r="52" spans="1:13" ht="12" customHeight="1" x14ac:dyDescent="0.2">
      <c r="A52" s="803" t="str">
        <f t="shared" si="7"/>
        <v/>
      </c>
      <c r="B52" s="802"/>
      <c r="C52" s="801"/>
      <c r="D52" s="800" t="str">
        <f>IF(SUM(K52:$K$100)=0,"",SUM(K52:$K$100))</f>
        <v/>
      </c>
      <c r="E52" s="799" t="str">
        <f t="shared" si="5"/>
        <v/>
      </c>
      <c r="F52" s="799"/>
      <c r="G52" s="799" t="str">
        <f>IF(A52="","",SUM(E51:E52))</f>
        <v/>
      </c>
      <c r="H52" s="799" t="str">
        <f t="shared" si="9"/>
        <v/>
      </c>
      <c r="I52" s="798"/>
      <c r="J52" s="797" t="str">
        <f t="shared" si="6"/>
        <v/>
      </c>
      <c r="K52" s="797" t="str">
        <f t="shared" si="8"/>
        <v/>
      </c>
      <c r="L52" s="794">
        <f>MAX(F52:$F$100)</f>
        <v>0</v>
      </c>
      <c r="M52" s="794">
        <f>MAX(G52:$G$100)</f>
        <v>0</v>
      </c>
    </row>
    <row r="53" spans="1:13" ht="12" customHeight="1" x14ac:dyDescent="0.2">
      <c r="A53" s="803" t="str">
        <f t="shared" si="7"/>
        <v/>
      </c>
      <c r="B53" s="802"/>
      <c r="C53" s="801"/>
      <c r="D53" s="800" t="str">
        <f>IF(SUM(K53:$K$100)=0,"",SUM(K53:$K$100))</f>
        <v/>
      </c>
      <c r="E53" s="799" t="str">
        <f t="shared" si="5"/>
        <v/>
      </c>
      <c r="F53" s="799" t="str">
        <f>IF(A53="","",SUM(E52:E53))</f>
        <v/>
      </c>
      <c r="G53" s="799" t="s">
        <v>409</v>
      </c>
      <c r="H53" s="799" t="str">
        <f t="shared" si="9"/>
        <v/>
      </c>
      <c r="I53" s="798"/>
      <c r="J53" s="797" t="str">
        <f t="shared" si="6"/>
        <v/>
      </c>
      <c r="K53" s="797" t="str">
        <f t="shared" si="8"/>
        <v/>
      </c>
      <c r="L53" s="794">
        <f>MAX(F53:$F$100)</f>
        <v>0</v>
      </c>
      <c r="M53" s="794">
        <f>MAX(G53:$G$100)</f>
        <v>0</v>
      </c>
    </row>
    <row r="54" spans="1:13" ht="12" customHeight="1" x14ac:dyDescent="0.2">
      <c r="A54" s="803" t="str">
        <f t="shared" si="7"/>
        <v/>
      </c>
      <c r="B54" s="802"/>
      <c r="C54" s="801"/>
      <c r="D54" s="800" t="str">
        <f>IF(SUM(K54:$K$100)=0,"",SUM(K54:$K$100))</f>
        <v/>
      </c>
      <c r="E54" s="799" t="str">
        <f t="shared" si="5"/>
        <v/>
      </c>
      <c r="F54" s="799"/>
      <c r="G54" s="799" t="str">
        <f>IF(A54="","",SUM(E53:E54))</f>
        <v/>
      </c>
      <c r="H54" s="799" t="str">
        <f t="shared" si="9"/>
        <v/>
      </c>
      <c r="I54" s="798"/>
      <c r="J54" s="797" t="str">
        <f t="shared" si="6"/>
        <v/>
      </c>
      <c r="K54" s="797" t="str">
        <f t="shared" si="8"/>
        <v/>
      </c>
      <c r="L54" s="794">
        <f>MAX(F54:$F$100)</f>
        <v>0</v>
      </c>
      <c r="M54" s="794">
        <f>MAX(G54:$G$100)</f>
        <v>0</v>
      </c>
    </row>
    <row r="55" spans="1:13" ht="12" customHeight="1" x14ac:dyDescent="0.2">
      <c r="A55" s="803" t="str">
        <f t="shared" si="7"/>
        <v/>
      </c>
      <c r="B55" s="802"/>
      <c r="C55" s="801"/>
      <c r="D55" s="800" t="str">
        <f>IF(SUM(K55:$K$100)=0,"",SUM(K55:$K$100))</f>
        <v/>
      </c>
      <c r="E55" s="799" t="str">
        <f t="shared" si="5"/>
        <v/>
      </c>
      <c r="F55" s="799" t="str">
        <f>IF(A55="","",SUM(E54:E55))</f>
        <v/>
      </c>
      <c r="G55" s="799" t="s">
        <v>409</v>
      </c>
      <c r="H55" s="799" t="str">
        <f t="shared" si="9"/>
        <v/>
      </c>
      <c r="I55" s="798"/>
      <c r="J55" s="797" t="str">
        <f t="shared" si="6"/>
        <v/>
      </c>
      <c r="K55" s="797" t="str">
        <f t="shared" si="8"/>
        <v/>
      </c>
      <c r="L55" s="794">
        <f>MAX(F55:$F$100)</f>
        <v>0</v>
      </c>
      <c r="M55" s="794">
        <f>MAX(G55:$G$100)</f>
        <v>0</v>
      </c>
    </row>
    <row r="56" spans="1:13" ht="12" customHeight="1" x14ac:dyDescent="0.2">
      <c r="A56" s="803" t="str">
        <f t="shared" si="7"/>
        <v/>
      </c>
      <c r="B56" s="802"/>
      <c r="C56" s="801"/>
      <c r="D56" s="800" t="str">
        <f>IF(SUM(K56:$K$100)=0,"",SUM(K56:$K$100))</f>
        <v/>
      </c>
      <c r="E56" s="799" t="str">
        <f t="shared" si="5"/>
        <v/>
      </c>
      <c r="F56" s="799"/>
      <c r="G56" s="799" t="str">
        <f>IF(A56="","",SUM(E55:E56))</f>
        <v/>
      </c>
      <c r="H56" s="799" t="str">
        <f t="shared" si="9"/>
        <v/>
      </c>
      <c r="I56" s="798"/>
      <c r="J56" s="797" t="str">
        <f t="shared" si="6"/>
        <v/>
      </c>
      <c r="K56" s="797" t="str">
        <f t="shared" si="8"/>
        <v/>
      </c>
      <c r="L56" s="794">
        <f>MAX(F56:$F$100)</f>
        <v>0</v>
      </c>
      <c r="M56" s="794">
        <f>MAX(G56:$G$100)</f>
        <v>0</v>
      </c>
    </row>
    <row r="57" spans="1:13" ht="12" customHeight="1" x14ac:dyDescent="0.2">
      <c r="A57" s="803" t="str">
        <f t="shared" si="7"/>
        <v/>
      </c>
      <c r="B57" s="802"/>
      <c r="C57" s="801"/>
      <c r="D57" s="800" t="str">
        <f>IF(SUM(K57:$K$100)=0,"",SUM(K57:$K$100))</f>
        <v/>
      </c>
      <c r="E57" s="799" t="str">
        <f t="shared" si="5"/>
        <v/>
      </c>
      <c r="F57" s="799" t="str">
        <f>IF(A57="","",SUM(E56:E57))</f>
        <v/>
      </c>
      <c r="G57" s="799" t="s">
        <v>409</v>
      </c>
      <c r="H57" s="799" t="str">
        <f t="shared" si="9"/>
        <v/>
      </c>
      <c r="I57" s="798"/>
      <c r="J57" s="797" t="str">
        <f t="shared" si="6"/>
        <v/>
      </c>
      <c r="K57" s="797" t="str">
        <f t="shared" si="8"/>
        <v/>
      </c>
      <c r="L57" s="794">
        <f>MAX(F57:$F$100)</f>
        <v>0</v>
      </c>
      <c r="M57" s="794">
        <f>MAX(G57:$G$100)</f>
        <v>0</v>
      </c>
    </row>
    <row r="58" spans="1:13" ht="12" customHeight="1" x14ac:dyDescent="0.2">
      <c r="A58" s="803" t="str">
        <f t="shared" si="7"/>
        <v/>
      </c>
      <c r="B58" s="802"/>
      <c r="C58" s="801"/>
      <c r="D58" s="800" t="str">
        <f>IF(SUM(K58:$K$100)=0,"",SUM(K58:$K$100))</f>
        <v/>
      </c>
      <c r="E58" s="799" t="str">
        <f t="shared" si="5"/>
        <v/>
      </c>
      <c r="F58" s="799"/>
      <c r="G58" s="799" t="str">
        <f>IF(A58="","",SUM(E57:E58))</f>
        <v/>
      </c>
      <c r="H58" s="799" t="str">
        <f t="shared" si="9"/>
        <v/>
      </c>
      <c r="I58" s="798"/>
      <c r="J58" s="797" t="str">
        <f t="shared" si="6"/>
        <v/>
      </c>
      <c r="K58" s="797" t="str">
        <f t="shared" si="8"/>
        <v/>
      </c>
      <c r="L58" s="794">
        <f>MAX(F58:$F$100)</f>
        <v>0</v>
      </c>
      <c r="M58" s="794">
        <f>MAX(G58:$G$100)</f>
        <v>0</v>
      </c>
    </row>
    <row r="59" spans="1:13" ht="12" customHeight="1" x14ac:dyDescent="0.2">
      <c r="A59" s="803" t="str">
        <f t="shared" si="7"/>
        <v/>
      </c>
      <c r="B59" s="802"/>
      <c r="C59" s="801"/>
      <c r="D59" s="800" t="str">
        <f>IF(SUM(K59:$K$100)=0,"",SUM(K59:$K$100))</f>
        <v/>
      </c>
      <c r="E59" s="799" t="str">
        <f t="shared" si="5"/>
        <v/>
      </c>
      <c r="F59" s="799" t="str">
        <f>IF(A59="","",SUM(E58:E59))</f>
        <v/>
      </c>
      <c r="G59" s="799" t="s">
        <v>409</v>
      </c>
      <c r="H59" s="799" t="str">
        <f t="shared" si="9"/>
        <v/>
      </c>
      <c r="I59" s="798"/>
      <c r="J59" s="797" t="str">
        <f t="shared" si="6"/>
        <v/>
      </c>
      <c r="K59" s="797" t="str">
        <f t="shared" si="8"/>
        <v/>
      </c>
      <c r="L59" s="794">
        <f>MAX(F59:$F$100)</f>
        <v>0</v>
      </c>
      <c r="M59" s="794">
        <f>MAX(G59:$G$100)</f>
        <v>0</v>
      </c>
    </row>
    <row r="60" spans="1:13" ht="12" customHeight="1" x14ac:dyDescent="0.2">
      <c r="A60" s="803" t="str">
        <f t="shared" si="7"/>
        <v/>
      </c>
      <c r="B60" s="802"/>
      <c r="C60" s="801"/>
      <c r="D60" s="800" t="str">
        <f>IF(SUM(K60:$K$100)=0,"",SUM(K60:$K$100))</f>
        <v/>
      </c>
      <c r="E60" s="799" t="str">
        <f t="shared" si="5"/>
        <v/>
      </c>
      <c r="F60" s="799"/>
      <c r="G60" s="799" t="str">
        <f>IF(A60="","",SUM(E59:E60))</f>
        <v/>
      </c>
      <c r="H60" s="799" t="str">
        <f t="shared" si="9"/>
        <v/>
      </c>
      <c r="I60" s="798"/>
      <c r="J60" s="797" t="str">
        <f t="shared" si="6"/>
        <v/>
      </c>
      <c r="K60" s="797" t="str">
        <f t="shared" si="8"/>
        <v/>
      </c>
      <c r="L60" s="794">
        <f>MAX(F60:$F$100)</f>
        <v>0</v>
      </c>
      <c r="M60" s="794">
        <f>MAX(G60:$G$100)</f>
        <v>0</v>
      </c>
    </row>
    <row r="61" spans="1:13" ht="12" customHeight="1" x14ac:dyDescent="0.2">
      <c r="A61" s="803" t="str">
        <f t="shared" si="7"/>
        <v/>
      </c>
      <c r="B61" s="802"/>
      <c r="C61" s="801"/>
      <c r="D61" s="800" t="str">
        <f>IF(SUM(K61:$K$100)=0,"",SUM(K61:$K$100))</f>
        <v/>
      </c>
      <c r="E61" s="799" t="str">
        <f t="shared" si="5"/>
        <v/>
      </c>
      <c r="F61" s="799" t="str">
        <f>IF(A61="","",SUM(E60:E61))</f>
        <v/>
      </c>
      <c r="G61" s="799" t="s">
        <v>409</v>
      </c>
      <c r="H61" s="799" t="str">
        <f t="shared" si="9"/>
        <v/>
      </c>
      <c r="I61" s="798"/>
      <c r="J61" s="797" t="str">
        <f t="shared" si="6"/>
        <v/>
      </c>
      <c r="K61" s="797" t="str">
        <f t="shared" si="8"/>
        <v/>
      </c>
      <c r="L61" s="794">
        <f>MAX(F61:$F$100)</f>
        <v>0</v>
      </c>
      <c r="M61" s="794">
        <f>MAX(G61:$G$100)</f>
        <v>0</v>
      </c>
    </row>
    <row r="62" spans="1:13" ht="12" customHeight="1" x14ac:dyDescent="0.2">
      <c r="A62" s="803" t="str">
        <f t="shared" si="7"/>
        <v/>
      </c>
      <c r="B62" s="802"/>
      <c r="C62" s="801"/>
      <c r="D62" s="800" t="str">
        <f>IF(SUM(K62:$K$100)=0,"",SUM(K62:$K$100))</f>
        <v/>
      </c>
      <c r="E62" s="799" t="str">
        <f t="shared" si="5"/>
        <v/>
      </c>
      <c r="F62" s="799"/>
      <c r="G62" s="799" t="str">
        <f>IF(A62="","",SUM(E61:E62))</f>
        <v/>
      </c>
      <c r="H62" s="799" t="str">
        <f t="shared" si="9"/>
        <v/>
      </c>
      <c r="I62" s="798"/>
      <c r="J62" s="797" t="str">
        <f t="shared" si="6"/>
        <v/>
      </c>
      <c r="K62" s="797" t="str">
        <f t="shared" si="8"/>
        <v/>
      </c>
      <c r="L62" s="794">
        <f>MAX(F62:$F$100)</f>
        <v>0</v>
      </c>
      <c r="M62" s="794">
        <f>MAX(G62:$G$100)</f>
        <v>0</v>
      </c>
    </row>
    <row r="63" spans="1:13" ht="12" customHeight="1" x14ac:dyDescent="0.2">
      <c r="A63" s="803" t="str">
        <f t="shared" si="7"/>
        <v/>
      </c>
      <c r="B63" s="802"/>
      <c r="C63" s="801"/>
      <c r="D63" s="800" t="str">
        <f>IF(SUM(K63:$K$100)=0,"",SUM(K63:$K$100))</f>
        <v/>
      </c>
      <c r="E63" s="799" t="str">
        <f t="shared" si="5"/>
        <v/>
      </c>
      <c r="F63" s="799" t="str">
        <f>IF(A63="","",SUM(E62:E63))</f>
        <v/>
      </c>
      <c r="G63" s="799" t="s">
        <v>409</v>
      </c>
      <c r="H63" s="799" t="str">
        <f t="shared" si="9"/>
        <v/>
      </c>
      <c r="I63" s="798"/>
      <c r="J63" s="797" t="str">
        <f t="shared" si="6"/>
        <v/>
      </c>
      <c r="K63" s="797" t="str">
        <f t="shared" si="8"/>
        <v/>
      </c>
      <c r="L63" s="794">
        <f>MAX(F63:$F$100)</f>
        <v>0</v>
      </c>
      <c r="M63" s="794">
        <f>MAX(G63:$G$100)</f>
        <v>0</v>
      </c>
    </row>
    <row r="64" spans="1:13" ht="12" customHeight="1" x14ac:dyDescent="0.2">
      <c r="A64" s="803" t="str">
        <f t="shared" si="7"/>
        <v/>
      </c>
      <c r="B64" s="802"/>
      <c r="C64" s="801"/>
      <c r="D64" s="800" t="str">
        <f>IF(SUM(K64:$K$100)=0,"",SUM(K64:$K$100))</f>
        <v/>
      </c>
      <c r="E64" s="799" t="str">
        <f t="shared" si="5"/>
        <v/>
      </c>
      <c r="F64" s="799"/>
      <c r="G64" s="799" t="str">
        <f>IF(A64="","",SUM(E63:E64))</f>
        <v/>
      </c>
      <c r="H64" s="799" t="str">
        <f t="shared" si="9"/>
        <v/>
      </c>
      <c r="I64" s="798"/>
      <c r="J64" s="797" t="str">
        <f t="shared" si="6"/>
        <v/>
      </c>
      <c r="K64" s="797" t="str">
        <f t="shared" si="8"/>
        <v/>
      </c>
      <c r="L64" s="794">
        <f>MAX(F64:$F$100)</f>
        <v>0</v>
      </c>
      <c r="M64" s="794">
        <f>MAX(G64:$G$100)</f>
        <v>0</v>
      </c>
    </row>
    <row r="65" spans="1:13" ht="12" customHeight="1" x14ac:dyDescent="0.2">
      <c r="A65" s="803" t="str">
        <f t="shared" si="7"/>
        <v/>
      </c>
      <c r="B65" s="802"/>
      <c r="C65" s="801"/>
      <c r="D65" s="800" t="str">
        <f>IF(SUM(K65:$K$100)=0,"",SUM(K65:$K$100))</f>
        <v/>
      </c>
      <c r="E65" s="799" t="str">
        <f t="shared" si="5"/>
        <v/>
      </c>
      <c r="F65" s="799" t="str">
        <f>IF(A65="","",SUM(E64:E65))</f>
        <v/>
      </c>
      <c r="G65" s="799" t="s">
        <v>409</v>
      </c>
      <c r="H65" s="799" t="str">
        <f t="shared" si="9"/>
        <v/>
      </c>
      <c r="I65" s="798"/>
      <c r="J65" s="797" t="str">
        <f t="shared" si="6"/>
        <v/>
      </c>
      <c r="K65" s="797" t="str">
        <f t="shared" si="8"/>
        <v/>
      </c>
      <c r="L65" s="794">
        <f>MAX(F65:$F$100)</f>
        <v>0</v>
      </c>
      <c r="M65" s="794">
        <f>MAX(G65:$G$100)</f>
        <v>0</v>
      </c>
    </row>
    <row r="66" spans="1:13" ht="12" customHeight="1" x14ac:dyDescent="0.2">
      <c r="A66" s="803" t="str">
        <f t="shared" si="7"/>
        <v/>
      </c>
      <c r="B66" s="802"/>
      <c r="C66" s="801"/>
      <c r="D66" s="800" t="str">
        <f>IF(SUM(K66:$K$100)=0,"",SUM(K66:$K$100))</f>
        <v/>
      </c>
      <c r="E66" s="799" t="str">
        <f t="shared" si="5"/>
        <v/>
      </c>
      <c r="F66" s="799"/>
      <c r="G66" s="799" t="str">
        <f>IF(A66="","",SUM(E65:E66))</f>
        <v/>
      </c>
      <c r="H66" s="799" t="str">
        <f t="shared" si="9"/>
        <v/>
      </c>
      <c r="I66" s="798"/>
      <c r="J66" s="797" t="str">
        <f t="shared" si="6"/>
        <v/>
      </c>
      <c r="K66" s="797" t="str">
        <f t="shared" si="8"/>
        <v/>
      </c>
      <c r="L66" s="794">
        <f>MAX(F66:$F$100)</f>
        <v>0</v>
      </c>
      <c r="M66" s="794">
        <f>MAX(G66:$G$100)</f>
        <v>0</v>
      </c>
    </row>
    <row r="67" spans="1:13" ht="12" customHeight="1" x14ac:dyDescent="0.2">
      <c r="A67" s="803" t="str">
        <f t="shared" si="7"/>
        <v/>
      </c>
      <c r="B67" s="802"/>
      <c r="C67" s="801"/>
      <c r="D67" s="800" t="str">
        <f>IF(SUM(K67:$K$100)=0,"",SUM(K67:$K$100))</f>
        <v/>
      </c>
      <c r="E67" s="799" t="str">
        <f t="shared" si="5"/>
        <v/>
      </c>
      <c r="F67" s="799" t="str">
        <f>IF(A67="","",SUM(E66:E67))</f>
        <v/>
      </c>
      <c r="G67" s="799" t="s">
        <v>409</v>
      </c>
      <c r="H67" s="799" t="str">
        <f t="shared" si="9"/>
        <v/>
      </c>
      <c r="I67" s="798"/>
      <c r="J67" s="797" t="str">
        <f t="shared" si="6"/>
        <v/>
      </c>
      <c r="K67" s="797" t="str">
        <f t="shared" si="8"/>
        <v/>
      </c>
      <c r="L67" s="794">
        <f>MAX(F67:$F$100)</f>
        <v>0</v>
      </c>
      <c r="M67" s="794">
        <f>MAX(G67:$G$100)</f>
        <v>0</v>
      </c>
    </row>
    <row r="68" spans="1:13" ht="12" customHeight="1" x14ac:dyDescent="0.2">
      <c r="A68" s="803" t="str">
        <f t="shared" si="7"/>
        <v/>
      </c>
      <c r="B68" s="802"/>
      <c r="C68" s="801"/>
      <c r="D68" s="800" t="str">
        <f>IF(SUM(K68:$K$100)=0,"",SUM(K68:$K$100))</f>
        <v/>
      </c>
      <c r="E68" s="799" t="str">
        <f t="shared" si="5"/>
        <v/>
      </c>
      <c r="F68" s="799"/>
      <c r="G68" s="799" t="str">
        <f>IF(A68="","",SUM(E67:E68))</f>
        <v/>
      </c>
      <c r="H68" s="799" t="str">
        <f t="shared" si="9"/>
        <v/>
      </c>
      <c r="I68" s="798"/>
      <c r="J68" s="797" t="str">
        <f t="shared" si="6"/>
        <v/>
      </c>
      <c r="K68" s="797" t="str">
        <f t="shared" si="8"/>
        <v/>
      </c>
      <c r="L68" s="794">
        <f>MAX(F68:$F$100)</f>
        <v>0</v>
      </c>
      <c r="M68" s="794">
        <f>MAX(G68:$G$100)</f>
        <v>0</v>
      </c>
    </row>
    <row r="69" spans="1:13" ht="12" customHeight="1" x14ac:dyDescent="0.2">
      <c r="A69" s="803" t="str">
        <f t="shared" si="7"/>
        <v/>
      </c>
      <c r="B69" s="802"/>
      <c r="C69" s="801"/>
      <c r="D69" s="800" t="str">
        <f>IF(SUM(K69:$K$100)=0,"",SUM(K69:$K$100))</f>
        <v/>
      </c>
      <c r="E69" s="799" t="str">
        <f t="shared" si="5"/>
        <v/>
      </c>
      <c r="F69" s="799" t="str">
        <f>IF(A69="","",SUM(E68:E69))</f>
        <v/>
      </c>
      <c r="G69" s="799" t="s">
        <v>409</v>
      </c>
      <c r="H69" s="799" t="str">
        <f t="shared" si="9"/>
        <v/>
      </c>
      <c r="I69" s="798"/>
      <c r="J69" s="797" t="str">
        <f t="shared" si="6"/>
        <v/>
      </c>
      <c r="K69" s="797" t="str">
        <f t="shared" si="8"/>
        <v/>
      </c>
      <c r="L69" s="794">
        <f>MAX(F69:$F$100)</f>
        <v>0</v>
      </c>
      <c r="M69" s="794">
        <f>MAX(G69:$G$100)</f>
        <v>0</v>
      </c>
    </row>
    <row r="70" spans="1:13" ht="12" customHeight="1" x14ac:dyDescent="0.2">
      <c r="A70" s="803" t="str">
        <f t="shared" si="7"/>
        <v/>
      </c>
      <c r="B70" s="802"/>
      <c r="C70" s="801"/>
      <c r="D70" s="800" t="str">
        <f>IF(SUM(K70:$K$100)=0,"",SUM(K70:$K$100))</f>
        <v/>
      </c>
      <c r="E70" s="799" t="str">
        <f t="shared" si="5"/>
        <v/>
      </c>
      <c r="F70" s="799"/>
      <c r="G70" s="799" t="str">
        <f>IF(A70="","",SUM(E69:E70))</f>
        <v/>
      </c>
      <c r="H70" s="799" t="str">
        <f t="shared" si="9"/>
        <v/>
      </c>
      <c r="I70" s="798"/>
      <c r="J70" s="797" t="str">
        <f t="shared" si="6"/>
        <v/>
      </c>
      <c r="K70" s="797" t="str">
        <f t="shared" si="8"/>
        <v/>
      </c>
      <c r="L70" s="794">
        <f>MAX(F70:$F$100)</f>
        <v>0</v>
      </c>
      <c r="M70" s="794">
        <f>MAX(G70:$G$100)</f>
        <v>0</v>
      </c>
    </row>
    <row r="71" spans="1:13" ht="12" customHeight="1" x14ac:dyDescent="0.2">
      <c r="A71" s="803" t="str">
        <f t="shared" si="7"/>
        <v/>
      </c>
      <c r="B71" s="802"/>
      <c r="C71" s="801"/>
      <c r="D71" s="800" t="str">
        <f>IF(SUM(K71:$K$100)=0,"",SUM(K71:$K$100))</f>
        <v/>
      </c>
      <c r="E71" s="799" t="str">
        <f t="shared" si="5"/>
        <v/>
      </c>
      <c r="F71" s="799" t="str">
        <f>IF(A71="","",SUM(E70:E71))</f>
        <v/>
      </c>
      <c r="G71" s="799" t="s">
        <v>409</v>
      </c>
      <c r="H71" s="799" t="str">
        <f t="shared" si="9"/>
        <v/>
      </c>
      <c r="I71" s="798"/>
      <c r="J71" s="797" t="str">
        <f t="shared" si="6"/>
        <v/>
      </c>
      <c r="K71" s="797" t="str">
        <f t="shared" si="8"/>
        <v/>
      </c>
      <c r="L71" s="794">
        <f>MAX(F71:$F$100)</f>
        <v>0</v>
      </c>
      <c r="M71" s="794">
        <f>MAX(G71:$G$100)</f>
        <v>0</v>
      </c>
    </row>
    <row r="72" spans="1:13" ht="12" customHeight="1" x14ac:dyDescent="0.2">
      <c r="A72" s="803" t="str">
        <f t="shared" si="7"/>
        <v/>
      </c>
      <c r="B72" s="802"/>
      <c r="C72" s="801"/>
      <c r="D72" s="800" t="str">
        <f>IF(SUM(K72:$K$100)=0,"",SUM(K72:$K$100))</f>
        <v/>
      </c>
      <c r="E72" s="799" t="str">
        <f t="shared" si="5"/>
        <v/>
      </c>
      <c r="F72" s="799"/>
      <c r="G72" s="799" t="str">
        <f>IF(A72="","",SUM(E71:E72))</f>
        <v/>
      </c>
      <c r="H72" s="799" t="str">
        <f t="shared" si="9"/>
        <v/>
      </c>
      <c r="I72" s="798"/>
      <c r="J72" s="797" t="str">
        <f t="shared" si="6"/>
        <v/>
      </c>
      <c r="K72" s="797" t="str">
        <f t="shared" si="8"/>
        <v/>
      </c>
      <c r="L72" s="794">
        <f>MAX(F72:$F$100)</f>
        <v>0</v>
      </c>
      <c r="M72" s="794">
        <f>MAX(G72:$G$100)</f>
        <v>0</v>
      </c>
    </row>
    <row r="73" spans="1:13" ht="12" customHeight="1" x14ac:dyDescent="0.2">
      <c r="A73" s="803" t="str">
        <f t="shared" si="7"/>
        <v/>
      </c>
      <c r="B73" s="802"/>
      <c r="C73" s="801"/>
      <c r="D73" s="800" t="str">
        <f>IF(SUM(K73:$K$100)=0,"",SUM(K73:$K$100))</f>
        <v/>
      </c>
      <c r="E73" s="799" t="str">
        <f t="shared" si="5"/>
        <v/>
      </c>
      <c r="F73" s="799" t="str">
        <f>IF(A73="","",SUM(E72:E73))</f>
        <v/>
      </c>
      <c r="G73" s="799" t="s">
        <v>409</v>
      </c>
      <c r="H73" s="799" t="str">
        <f t="shared" si="9"/>
        <v/>
      </c>
      <c r="I73" s="798"/>
      <c r="J73" s="797" t="str">
        <f t="shared" si="6"/>
        <v/>
      </c>
      <c r="K73" s="797" t="str">
        <f t="shared" si="8"/>
        <v/>
      </c>
      <c r="L73" s="794">
        <f>MAX(F73:$F$100)</f>
        <v>0</v>
      </c>
      <c r="M73" s="794">
        <f>MAX(G73:$G$100)</f>
        <v>0</v>
      </c>
    </row>
    <row r="74" spans="1:13" ht="12" customHeight="1" x14ac:dyDescent="0.2">
      <c r="A74" s="803" t="str">
        <f t="shared" si="7"/>
        <v/>
      </c>
      <c r="B74" s="802"/>
      <c r="C74" s="801"/>
      <c r="D74" s="800" t="str">
        <f>IF(SUM(K74:$K$100)=0,"",SUM(K74:$K$100))</f>
        <v/>
      </c>
      <c r="E74" s="799" t="str">
        <f t="shared" si="5"/>
        <v/>
      </c>
      <c r="F74" s="799"/>
      <c r="G74" s="799" t="str">
        <f>IF(A74="","",SUM(E73:E74))</f>
        <v/>
      </c>
      <c r="H74" s="799" t="str">
        <f t="shared" si="9"/>
        <v/>
      </c>
      <c r="I74" s="798"/>
      <c r="J74" s="797" t="str">
        <f t="shared" si="6"/>
        <v/>
      </c>
      <c r="K74" s="797" t="str">
        <f t="shared" si="8"/>
        <v/>
      </c>
      <c r="L74" s="794">
        <f>MAX(F74:$F$100)</f>
        <v>0</v>
      </c>
      <c r="M74" s="794">
        <f>MAX(G74:$G$100)</f>
        <v>0</v>
      </c>
    </row>
    <row r="75" spans="1:13" ht="12" customHeight="1" x14ac:dyDescent="0.2">
      <c r="A75" s="803" t="str">
        <f t="shared" si="7"/>
        <v/>
      </c>
      <c r="B75" s="802"/>
      <c r="C75" s="801"/>
      <c r="D75" s="800" t="str">
        <f>IF(SUM(K75:$K$100)=0,"",SUM(K75:$K$100))</f>
        <v/>
      </c>
      <c r="E75" s="799" t="str">
        <f t="shared" si="5"/>
        <v/>
      </c>
      <c r="F75" s="799" t="str">
        <f>IF(A75="","",SUM(E74:E75))</f>
        <v/>
      </c>
      <c r="G75" s="799" t="s">
        <v>409</v>
      </c>
      <c r="H75" s="799" t="str">
        <f t="shared" si="9"/>
        <v/>
      </c>
      <c r="I75" s="798"/>
      <c r="J75" s="797" t="str">
        <f t="shared" si="6"/>
        <v/>
      </c>
      <c r="K75" s="797" t="str">
        <f t="shared" si="8"/>
        <v/>
      </c>
      <c r="L75" s="794">
        <f>MAX(F75:$F$100)</f>
        <v>0</v>
      </c>
      <c r="M75" s="794">
        <f>MAX(G75:$G$100)</f>
        <v>0</v>
      </c>
    </row>
    <row r="76" spans="1:13" ht="12" customHeight="1" x14ac:dyDescent="0.2">
      <c r="A76" s="803" t="str">
        <f t="shared" si="7"/>
        <v/>
      </c>
      <c r="B76" s="802"/>
      <c r="C76" s="801"/>
      <c r="D76" s="800" t="str">
        <f>IF(SUM(K76:$K$100)=0,"",SUM(K76:$K$100))</f>
        <v/>
      </c>
      <c r="E76" s="799" t="str">
        <f t="shared" ref="E76:E100" si="10">IF(A76="","",C76+D76)</f>
        <v/>
      </c>
      <c r="F76" s="799"/>
      <c r="G76" s="799" t="str">
        <f>IF(A76="","",SUM(E75:E76))</f>
        <v/>
      </c>
      <c r="H76" s="799" t="str">
        <f t="shared" si="9"/>
        <v/>
      </c>
      <c r="I76" s="798"/>
      <c r="J76" s="797" t="str">
        <f t="shared" ref="J76:J100" si="11">IF(A76="","",C76*B76*DAYS360($C$5,$C$6)/$F$7)</f>
        <v/>
      </c>
      <c r="K76" s="797" t="str">
        <f t="shared" si="8"/>
        <v/>
      </c>
      <c r="L76" s="794">
        <f>MAX(F76:$F$100)</f>
        <v>0</v>
      </c>
      <c r="M76" s="794">
        <f>MAX(G76:$G$100)</f>
        <v>0</v>
      </c>
    </row>
    <row r="77" spans="1:13" ht="12" customHeight="1" x14ac:dyDescent="0.2">
      <c r="A77" s="803" t="str">
        <f t="shared" ref="A77:A100" si="12">IF(A76&lt;$C$7,DATE(YEAR(A76),MONTH(A76)+6,DAY(A76)),"")</f>
        <v/>
      </c>
      <c r="B77" s="802"/>
      <c r="C77" s="801"/>
      <c r="D77" s="800" t="str">
        <f>IF(SUM(K77:$K$100)=0,"",SUM(K77:$K$100))</f>
        <v/>
      </c>
      <c r="E77" s="799" t="str">
        <f t="shared" si="10"/>
        <v/>
      </c>
      <c r="F77" s="799" t="str">
        <f>IF(A77="","",SUM(E76:E77))</f>
        <v/>
      </c>
      <c r="G77" s="799" t="s">
        <v>409</v>
      </c>
      <c r="H77" s="799" t="str">
        <f t="shared" si="9"/>
        <v/>
      </c>
      <c r="I77" s="798"/>
      <c r="J77" s="797" t="str">
        <f t="shared" si="11"/>
        <v/>
      </c>
      <c r="K77" s="797" t="str">
        <f t="shared" ref="K77:K100" si="13">IF(A77="","",C77*B77/360*DAYS360(A76,A77))</f>
        <v/>
      </c>
      <c r="L77" s="794">
        <f>MAX(F77:$F$100)</f>
        <v>0</v>
      </c>
      <c r="M77" s="794">
        <f>MAX(G77:$G$100)</f>
        <v>0</v>
      </c>
    </row>
    <row r="78" spans="1:13" ht="12" customHeight="1" x14ac:dyDescent="0.2">
      <c r="A78" s="803" t="str">
        <f t="shared" si="12"/>
        <v/>
      </c>
      <c r="B78" s="802"/>
      <c r="C78" s="801"/>
      <c r="D78" s="800" t="str">
        <f>IF(SUM(K78:$K$100)=0,"",SUM(K78:$K$100))</f>
        <v/>
      </c>
      <c r="E78" s="799" t="str">
        <f t="shared" si="10"/>
        <v/>
      </c>
      <c r="F78" s="799"/>
      <c r="G78" s="799" t="str">
        <f>IF(A78="","",SUM(E77:E78))</f>
        <v/>
      </c>
      <c r="H78" s="799" t="str">
        <f t="shared" si="9"/>
        <v/>
      </c>
      <c r="I78" s="798"/>
      <c r="J78" s="797" t="str">
        <f t="shared" si="11"/>
        <v/>
      </c>
      <c r="K78" s="797" t="str">
        <f t="shared" si="13"/>
        <v/>
      </c>
      <c r="L78" s="794">
        <f>MAX(F78:$F$100)</f>
        <v>0</v>
      </c>
      <c r="M78" s="794">
        <f>MAX(G78:$G$100)</f>
        <v>0</v>
      </c>
    </row>
    <row r="79" spans="1:13" ht="12" customHeight="1" x14ac:dyDescent="0.2">
      <c r="A79" s="803" t="str">
        <f t="shared" si="12"/>
        <v/>
      </c>
      <c r="B79" s="802"/>
      <c r="C79" s="801"/>
      <c r="D79" s="800" t="str">
        <f>IF(SUM(K79:$K$100)=0,"",SUM(K79:$K$100))</f>
        <v/>
      </c>
      <c r="E79" s="799" t="str">
        <f t="shared" si="10"/>
        <v/>
      </c>
      <c r="F79" s="799" t="str">
        <f>IF(A79="","",SUM(E78:E79))</f>
        <v/>
      </c>
      <c r="G79" s="799" t="s">
        <v>409</v>
      </c>
      <c r="H79" s="799" t="str">
        <f t="shared" ref="H79:H100" si="14">IF(A79="","",H78-C79)</f>
        <v/>
      </c>
      <c r="I79" s="798"/>
      <c r="J79" s="797" t="str">
        <f t="shared" si="11"/>
        <v/>
      </c>
      <c r="K79" s="797" t="str">
        <f t="shared" si="13"/>
        <v/>
      </c>
      <c r="L79" s="794">
        <f>MAX(F79:$F$100)</f>
        <v>0</v>
      </c>
      <c r="M79" s="794">
        <f>MAX(G79:$G$100)</f>
        <v>0</v>
      </c>
    </row>
    <row r="80" spans="1:13" ht="12" customHeight="1" x14ac:dyDescent="0.2">
      <c r="A80" s="803" t="str">
        <f t="shared" si="12"/>
        <v/>
      </c>
      <c r="B80" s="802"/>
      <c r="C80" s="801"/>
      <c r="D80" s="800" t="str">
        <f>IF(SUM(K80:$K$100)=0,"",SUM(K80:$K$100))</f>
        <v/>
      </c>
      <c r="E80" s="799" t="str">
        <f t="shared" si="10"/>
        <v/>
      </c>
      <c r="F80" s="799"/>
      <c r="G80" s="799" t="str">
        <f>IF(A80="","",SUM(E79:E80))</f>
        <v/>
      </c>
      <c r="H80" s="799" t="str">
        <f t="shared" si="14"/>
        <v/>
      </c>
      <c r="I80" s="798"/>
      <c r="J80" s="797" t="str">
        <f t="shared" si="11"/>
        <v/>
      </c>
      <c r="K80" s="797" t="str">
        <f t="shared" si="13"/>
        <v/>
      </c>
      <c r="L80" s="794">
        <f>MAX(F80:$F$100)</f>
        <v>0</v>
      </c>
      <c r="M80" s="794">
        <f>MAX(G80:$G$100)</f>
        <v>0</v>
      </c>
    </row>
    <row r="81" spans="1:13" ht="12" customHeight="1" x14ac:dyDescent="0.2">
      <c r="A81" s="803" t="str">
        <f t="shared" si="12"/>
        <v/>
      </c>
      <c r="B81" s="802"/>
      <c r="C81" s="801"/>
      <c r="D81" s="800" t="str">
        <f>IF(SUM(K81:$K$100)=0,"",SUM(K81:$K$100))</f>
        <v/>
      </c>
      <c r="E81" s="799" t="str">
        <f t="shared" si="10"/>
        <v/>
      </c>
      <c r="F81" s="799" t="str">
        <f>IF(A81="","",SUM(E80:E81))</f>
        <v/>
      </c>
      <c r="G81" s="799" t="s">
        <v>409</v>
      </c>
      <c r="H81" s="799" t="str">
        <f t="shared" si="14"/>
        <v/>
      </c>
      <c r="I81" s="798"/>
      <c r="J81" s="797" t="str">
        <f t="shared" si="11"/>
        <v/>
      </c>
      <c r="K81" s="797" t="str">
        <f t="shared" si="13"/>
        <v/>
      </c>
      <c r="L81" s="794">
        <f>MAX(F81:$F$100)</f>
        <v>0</v>
      </c>
      <c r="M81" s="794">
        <f>MAX(G81:$G$100)</f>
        <v>0</v>
      </c>
    </row>
    <row r="82" spans="1:13" ht="12" customHeight="1" x14ac:dyDescent="0.2">
      <c r="A82" s="803" t="str">
        <f t="shared" si="12"/>
        <v/>
      </c>
      <c r="B82" s="802"/>
      <c r="C82" s="801"/>
      <c r="D82" s="800" t="str">
        <f>IF(SUM(K82:$K$100)=0,"",SUM(K82:$K$100))</f>
        <v/>
      </c>
      <c r="E82" s="799" t="str">
        <f t="shared" si="10"/>
        <v/>
      </c>
      <c r="F82" s="799"/>
      <c r="G82" s="799" t="str">
        <f>IF(A82="","",SUM(E81:E82))</f>
        <v/>
      </c>
      <c r="H82" s="799" t="str">
        <f t="shared" si="14"/>
        <v/>
      </c>
      <c r="I82" s="798"/>
      <c r="J82" s="797" t="str">
        <f t="shared" si="11"/>
        <v/>
      </c>
      <c r="K82" s="797" t="str">
        <f t="shared" si="13"/>
        <v/>
      </c>
      <c r="L82" s="794">
        <f>MAX(F82:$F$100)</f>
        <v>0</v>
      </c>
      <c r="M82" s="794">
        <f>MAX(G82:$G$100)</f>
        <v>0</v>
      </c>
    </row>
    <row r="83" spans="1:13" ht="12" customHeight="1" x14ac:dyDescent="0.2">
      <c r="A83" s="803" t="str">
        <f t="shared" si="12"/>
        <v/>
      </c>
      <c r="B83" s="802"/>
      <c r="C83" s="801"/>
      <c r="D83" s="800" t="str">
        <f>IF(SUM(K83:$K$100)=0,"",SUM(K83:$K$100))</f>
        <v/>
      </c>
      <c r="E83" s="799" t="str">
        <f t="shared" si="10"/>
        <v/>
      </c>
      <c r="F83" s="799" t="str">
        <f>IF(A83="","",SUM(E82:E83))</f>
        <v/>
      </c>
      <c r="G83" s="799" t="s">
        <v>409</v>
      </c>
      <c r="H83" s="799" t="str">
        <f t="shared" si="14"/>
        <v/>
      </c>
      <c r="I83" s="798"/>
      <c r="J83" s="797" t="str">
        <f t="shared" si="11"/>
        <v/>
      </c>
      <c r="K83" s="797" t="str">
        <f t="shared" si="13"/>
        <v/>
      </c>
      <c r="L83" s="794">
        <f>MAX(F83:$F$100)</f>
        <v>0</v>
      </c>
      <c r="M83" s="794">
        <f>MAX(G83:$G$100)</f>
        <v>0</v>
      </c>
    </row>
    <row r="84" spans="1:13" ht="12" customHeight="1" x14ac:dyDescent="0.2">
      <c r="A84" s="803" t="str">
        <f t="shared" si="12"/>
        <v/>
      </c>
      <c r="B84" s="802"/>
      <c r="C84" s="801"/>
      <c r="D84" s="800" t="str">
        <f>IF(SUM(K84:$K$100)=0,"",SUM(K84:$K$100))</f>
        <v/>
      </c>
      <c r="E84" s="799" t="str">
        <f t="shared" si="10"/>
        <v/>
      </c>
      <c r="F84" s="799"/>
      <c r="G84" s="799" t="str">
        <f>IF(A84="","",SUM(E83:E84))</f>
        <v/>
      </c>
      <c r="H84" s="799" t="str">
        <f t="shared" si="14"/>
        <v/>
      </c>
      <c r="I84" s="798"/>
      <c r="J84" s="797" t="str">
        <f t="shared" si="11"/>
        <v/>
      </c>
      <c r="K84" s="797" t="str">
        <f t="shared" si="13"/>
        <v/>
      </c>
      <c r="L84" s="794">
        <f>MAX(F84:$F$100)</f>
        <v>0</v>
      </c>
      <c r="M84" s="794">
        <f>MAX(G84:$G$100)</f>
        <v>0</v>
      </c>
    </row>
    <row r="85" spans="1:13" ht="12" customHeight="1" x14ac:dyDescent="0.2">
      <c r="A85" s="803" t="str">
        <f t="shared" si="12"/>
        <v/>
      </c>
      <c r="B85" s="802"/>
      <c r="C85" s="801"/>
      <c r="D85" s="800" t="str">
        <f>IF(SUM(K85:$K$100)=0,"",SUM(K85:$K$100))</f>
        <v/>
      </c>
      <c r="E85" s="799" t="str">
        <f t="shared" si="10"/>
        <v/>
      </c>
      <c r="F85" s="799" t="str">
        <f>IF(A85="","",SUM(E84:E85))</f>
        <v/>
      </c>
      <c r="G85" s="799" t="s">
        <v>409</v>
      </c>
      <c r="H85" s="799" t="str">
        <f t="shared" si="14"/>
        <v/>
      </c>
      <c r="I85" s="798"/>
      <c r="J85" s="797" t="str">
        <f t="shared" si="11"/>
        <v/>
      </c>
      <c r="K85" s="797" t="str">
        <f t="shared" si="13"/>
        <v/>
      </c>
      <c r="L85" s="794">
        <f>MAX(F85:$F$100)</f>
        <v>0</v>
      </c>
      <c r="M85" s="794">
        <f>MAX(G85:$G$100)</f>
        <v>0</v>
      </c>
    </row>
    <row r="86" spans="1:13" ht="12" customHeight="1" x14ac:dyDescent="0.2">
      <c r="A86" s="803" t="str">
        <f t="shared" si="12"/>
        <v/>
      </c>
      <c r="B86" s="802"/>
      <c r="C86" s="801"/>
      <c r="D86" s="800" t="str">
        <f>IF(SUM(K86:$K$100)=0,"",SUM(K86:$K$100))</f>
        <v/>
      </c>
      <c r="E86" s="799" t="str">
        <f t="shared" si="10"/>
        <v/>
      </c>
      <c r="F86" s="799"/>
      <c r="G86" s="799" t="str">
        <f>IF(A86="","",SUM(E85:E86))</f>
        <v/>
      </c>
      <c r="H86" s="799" t="str">
        <f t="shared" si="14"/>
        <v/>
      </c>
      <c r="I86" s="798"/>
      <c r="J86" s="797" t="str">
        <f t="shared" si="11"/>
        <v/>
      </c>
      <c r="K86" s="797" t="str">
        <f t="shared" si="13"/>
        <v/>
      </c>
      <c r="L86" s="794">
        <f>MAX(F86:$F$100)</f>
        <v>0</v>
      </c>
      <c r="M86" s="794">
        <f>MAX(G86:$G$100)</f>
        <v>0</v>
      </c>
    </row>
    <row r="87" spans="1:13" ht="12" customHeight="1" x14ac:dyDescent="0.2">
      <c r="A87" s="803" t="str">
        <f t="shared" si="12"/>
        <v/>
      </c>
      <c r="B87" s="802"/>
      <c r="C87" s="801"/>
      <c r="D87" s="800" t="str">
        <f>IF(SUM(K87:$K$100)=0,"",SUM(K87:$K$100))</f>
        <v/>
      </c>
      <c r="E87" s="799" t="str">
        <f t="shared" si="10"/>
        <v/>
      </c>
      <c r="F87" s="799" t="str">
        <f>IF(A87="","",SUM(E86:E87))</f>
        <v/>
      </c>
      <c r="G87" s="799" t="s">
        <v>409</v>
      </c>
      <c r="H87" s="799" t="str">
        <f t="shared" si="14"/>
        <v/>
      </c>
      <c r="I87" s="798"/>
      <c r="J87" s="797" t="str">
        <f t="shared" si="11"/>
        <v/>
      </c>
      <c r="K87" s="797" t="str">
        <f t="shared" si="13"/>
        <v/>
      </c>
      <c r="L87" s="794">
        <f>MAX(F87:$F$100)</f>
        <v>0</v>
      </c>
      <c r="M87" s="794">
        <f>MAX(G87:$G$100)</f>
        <v>0</v>
      </c>
    </row>
    <row r="88" spans="1:13" ht="12" customHeight="1" x14ac:dyDescent="0.2">
      <c r="A88" s="803" t="str">
        <f t="shared" si="12"/>
        <v/>
      </c>
      <c r="B88" s="802"/>
      <c r="C88" s="801"/>
      <c r="D88" s="800" t="str">
        <f>IF(SUM(K88:$K$100)=0,"",SUM(K88:$K$100))</f>
        <v/>
      </c>
      <c r="E88" s="799" t="str">
        <f t="shared" si="10"/>
        <v/>
      </c>
      <c r="F88" s="799"/>
      <c r="G88" s="799" t="str">
        <f>IF(A88="","",SUM(E87:E88))</f>
        <v/>
      </c>
      <c r="H88" s="799" t="str">
        <f t="shared" si="14"/>
        <v/>
      </c>
      <c r="I88" s="798"/>
      <c r="J88" s="797" t="str">
        <f t="shared" si="11"/>
        <v/>
      </c>
      <c r="K88" s="797" t="str">
        <f t="shared" si="13"/>
        <v/>
      </c>
      <c r="L88" s="794">
        <f>MAX(F88:$F$100)</f>
        <v>0</v>
      </c>
      <c r="M88" s="794">
        <f>MAX(G88:$G$100)</f>
        <v>0</v>
      </c>
    </row>
    <row r="89" spans="1:13" ht="12" customHeight="1" x14ac:dyDescent="0.2">
      <c r="A89" s="803" t="str">
        <f t="shared" si="12"/>
        <v/>
      </c>
      <c r="B89" s="802"/>
      <c r="C89" s="801"/>
      <c r="D89" s="800" t="str">
        <f>IF(SUM(K89:$K$100)=0,"",SUM(K89:$K$100))</f>
        <v/>
      </c>
      <c r="E89" s="799" t="str">
        <f t="shared" si="10"/>
        <v/>
      </c>
      <c r="F89" s="799" t="str">
        <f>IF(A89="","",SUM(E88:E89))</f>
        <v/>
      </c>
      <c r="G89" s="799" t="s">
        <v>409</v>
      </c>
      <c r="H89" s="799" t="str">
        <f t="shared" si="14"/>
        <v/>
      </c>
      <c r="I89" s="798"/>
      <c r="J89" s="797" t="str">
        <f t="shared" si="11"/>
        <v/>
      </c>
      <c r="K89" s="797" t="str">
        <f t="shared" si="13"/>
        <v/>
      </c>
      <c r="L89" s="794">
        <f>MAX(F89:$F$100)</f>
        <v>0</v>
      </c>
      <c r="M89" s="794">
        <f>MAX(G89:$G$100)</f>
        <v>0</v>
      </c>
    </row>
    <row r="90" spans="1:13" ht="12" customHeight="1" x14ac:dyDescent="0.2">
      <c r="A90" s="803" t="str">
        <f t="shared" si="12"/>
        <v/>
      </c>
      <c r="B90" s="802"/>
      <c r="C90" s="801"/>
      <c r="D90" s="800" t="str">
        <f>IF(SUM(K90:$K$100)=0,"",SUM(K90:$K$100))</f>
        <v/>
      </c>
      <c r="E90" s="799" t="str">
        <f t="shared" si="10"/>
        <v/>
      </c>
      <c r="F90" s="799"/>
      <c r="G90" s="799" t="str">
        <f>IF(A90="","",SUM(E89:E90))</f>
        <v/>
      </c>
      <c r="H90" s="799" t="str">
        <f t="shared" si="14"/>
        <v/>
      </c>
      <c r="I90" s="798"/>
      <c r="J90" s="797" t="str">
        <f t="shared" si="11"/>
        <v/>
      </c>
      <c r="K90" s="797" t="str">
        <f t="shared" si="13"/>
        <v/>
      </c>
      <c r="L90" s="794">
        <f>MAX(F90:$F$100)</f>
        <v>0</v>
      </c>
      <c r="M90" s="794">
        <f>MAX(G90:$G$100)</f>
        <v>0</v>
      </c>
    </row>
    <row r="91" spans="1:13" ht="12" customHeight="1" x14ac:dyDescent="0.2">
      <c r="A91" s="803" t="str">
        <f t="shared" si="12"/>
        <v/>
      </c>
      <c r="B91" s="802"/>
      <c r="C91" s="801"/>
      <c r="D91" s="800" t="str">
        <f>IF(SUM(K91:$K$100)=0,"",SUM(K91:$K$100))</f>
        <v/>
      </c>
      <c r="E91" s="799" t="str">
        <f t="shared" si="10"/>
        <v/>
      </c>
      <c r="F91" s="799" t="str">
        <f>IF(A91="","",SUM(E90:E91))</f>
        <v/>
      </c>
      <c r="G91" s="799" t="s">
        <v>409</v>
      </c>
      <c r="H91" s="799" t="str">
        <f t="shared" si="14"/>
        <v/>
      </c>
      <c r="I91" s="798"/>
      <c r="J91" s="797" t="str">
        <f t="shared" si="11"/>
        <v/>
      </c>
      <c r="K91" s="797" t="str">
        <f t="shared" si="13"/>
        <v/>
      </c>
      <c r="L91" s="794">
        <f>MAX(F91:$F$100)</f>
        <v>0</v>
      </c>
      <c r="M91" s="794">
        <f>MAX(G91:$G$100)</f>
        <v>0</v>
      </c>
    </row>
    <row r="92" spans="1:13" ht="12" customHeight="1" x14ac:dyDescent="0.2">
      <c r="A92" s="803" t="str">
        <f t="shared" si="12"/>
        <v/>
      </c>
      <c r="B92" s="802"/>
      <c r="C92" s="801"/>
      <c r="D92" s="800" t="str">
        <f>IF(SUM(K92:$K$100)=0,"",SUM(K92:$K$100))</f>
        <v/>
      </c>
      <c r="E92" s="799" t="str">
        <f t="shared" si="10"/>
        <v/>
      </c>
      <c r="F92" s="799"/>
      <c r="G92" s="799" t="str">
        <f>IF(A92="","",SUM(E91:E92))</f>
        <v/>
      </c>
      <c r="H92" s="799" t="str">
        <f t="shared" si="14"/>
        <v/>
      </c>
      <c r="I92" s="798"/>
      <c r="J92" s="797" t="str">
        <f t="shared" si="11"/>
        <v/>
      </c>
      <c r="K92" s="797" t="str">
        <f t="shared" si="13"/>
        <v/>
      </c>
      <c r="L92" s="794">
        <f>MAX(F92:$F$100)</f>
        <v>0</v>
      </c>
      <c r="M92" s="794">
        <f>MAX(G92:$G$100)</f>
        <v>0</v>
      </c>
    </row>
    <row r="93" spans="1:13" ht="12" customHeight="1" x14ac:dyDescent="0.2">
      <c r="A93" s="803" t="str">
        <f t="shared" si="12"/>
        <v/>
      </c>
      <c r="B93" s="802"/>
      <c r="C93" s="801"/>
      <c r="D93" s="800" t="str">
        <f>IF(SUM(K93:$K$100)=0,"",SUM(K93:$K$100))</f>
        <v/>
      </c>
      <c r="E93" s="799" t="str">
        <f t="shared" si="10"/>
        <v/>
      </c>
      <c r="F93" s="799" t="str">
        <f>IF(A93="","",SUM(E92:E93))</f>
        <v/>
      </c>
      <c r="G93" s="799" t="s">
        <v>409</v>
      </c>
      <c r="H93" s="799" t="str">
        <f t="shared" si="14"/>
        <v/>
      </c>
      <c r="I93" s="798"/>
      <c r="J93" s="797" t="str">
        <f t="shared" si="11"/>
        <v/>
      </c>
      <c r="K93" s="797" t="str">
        <f t="shared" si="13"/>
        <v/>
      </c>
      <c r="L93" s="794">
        <f>MAX(F93:$F$100)</f>
        <v>0</v>
      </c>
      <c r="M93" s="794">
        <f>MAX(G93:$G$100)</f>
        <v>0</v>
      </c>
    </row>
    <row r="94" spans="1:13" ht="12" customHeight="1" x14ac:dyDescent="0.2">
      <c r="A94" s="803" t="str">
        <f t="shared" si="12"/>
        <v/>
      </c>
      <c r="B94" s="802"/>
      <c r="C94" s="801"/>
      <c r="D94" s="800" t="str">
        <f>IF(SUM(K94:$K$100)=0,"",SUM(K94:$K$100))</f>
        <v/>
      </c>
      <c r="E94" s="799" t="str">
        <f t="shared" si="10"/>
        <v/>
      </c>
      <c r="F94" s="799"/>
      <c r="G94" s="799" t="str">
        <f>IF(A94="","",SUM(E93:E94))</f>
        <v/>
      </c>
      <c r="H94" s="799" t="str">
        <f t="shared" si="14"/>
        <v/>
      </c>
      <c r="I94" s="798"/>
      <c r="J94" s="797" t="str">
        <f t="shared" si="11"/>
        <v/>
      </c>
      <c r="K94" s="797" t="str">
        <f t="shared" si="13"/>
        <v/>
      </c>
      <c r="L94" s="794">
        <f>MAX(F94:$F$100)</f>
        <v>0</v>
      </c>
      <c r="M94" s="794">
        <f>MAX(G94:$G$100)</f>
        <v>0</v>
      </c>
    </row>
    <row r="95" spans="1:13" ht="12" customHeight="1" x14ac:dyDescent="0.2">
      <c r="A95" s="803" t="str">
        <f t="shared" si="12"/>
        <v/>
      </c>
      <c r="B95" s="802"/>
      <c r="C95" s="801"/>
      <c r="D95" s="800" t="str">
        <f>IF(SUM(K95:$K$100)=0,"",SUM(K95:$K$100))</f>
        <v/>
      </c>
      <c r="E95" s="799" t="str">
        <f t="shared" si="10"/>
        <v/>
      </c>
      <c r="F95" s="799" t="str">
        <f>IF(A95="","",SUM(E94:E95))</f>
        <v/>
      </c>
      <c r="G95" s="799" t="s">
        <v>409</v>
      </c>
      <c r="H95" s="799" t="str">
        <f t="shared" si="14"/>
        <v/>
      </c>
      <c r="I95" s="798"/>
      <c r="J95" s="797" t="str">
        <f t="shared" si="11"/>
        <v/>
      </c>
      <c r="K95" s="797" t="str">
        <f t="shared" si="13"/>
        <v/>
      </c>
      <c r="L95" s="794">
        <f>MAX(F95:$F$100)</f>
        <v>0</v>
      </c>
      <c r="M95" s="794">
        <f>MAX(G95:$G$100)</f>
        <v>0</v>
      </c>
    </row>
    <row r="96" spans="1:13" ht="12" customHeight="1" x14ac:dyDescent="0.2">
      <c r="A96" s="803" t="str">
        <f t="shared" si="12"/>
        <v/>
      </c>
      <c r="B96" s="802"/>
      <c r="C96" s="801"/>
      <c r="D96" s="800" t="str">
        <f>IF(SUM(K96:$K$100)=0,"",SUM(K96:$K$100))</f>
        <v/>
      </c>
      <c r="E96" s="799" t="str">
        <f t="shared" si="10"/>
        <v/>
      </c>
      <c r="F96" s="799"/>
      <c r="G96" s="799" t="str">
        <f>IF(A96="","",SUM(E95:E96))</f>
        <v/>
      </c>
      <c r="H96" s="799" t="str">
        <f t="shared" si="14"/>
        <v/>
      </c>
      <c r="I96" s="798"/>
      <c r="J96" s="797" t="str">
        <f t="shared" si="11"/>
        <v/>
      </c>
      <c r="K96" s="797" t="str">
        <f t="shared" si="13"/>
        <v/>
      </c>
      <c r="L96" s="794">
        <f>MAX(F96:$F$100)</f>
        <v>0</v>
      </c>
      <c r="M96" s="794">
        <f>MAX(G96:$G$100)</f>
        <v>0</v>
      </c>
    </row>
    <row r="97" spans="1:13" ht="12" customHeight="1" x14ac:dyDescent="0.2">
      <c r="A97" s="803" t="str">
        <f t="shared" si="12"/>
        <v/>
      </c>
      <c r="B97" s="802"/>
      <c r="C97" s="801"/>
      <c r="D97" s="800" t="str">
        <f>IF(SUM(K97:$K$100)=0,"",SUM(K97:$K$100))</f>
        <v/>
      </c>
      <c r="E97" s="799" t="str">
        <f t="shared" si="10"/>
        <v/>
      </c>
      <c r="F97" s="799" t="str">
        <f>IF(A97="","",SUM(E96:E97))</f>
        <v/>
      </c>
      <c r="G97" s="799" t="s">
        <v>409</v>
      </c>
      <c r="H97" s="799" t="str">
        <f t="shared" si="14"/>
        <v/>
      </c>
      <c r="I97" s="798"/>
      <c r="J97" s="797" t="str">
        <f t="shared" si="11"/>
        <v/>
      </c>
      <c r="K97" s="797" t="str">
        <f t="shared" si="13"/>
        <v/>
      </c>
      <c r="L97" s="794">
        <f>MAX(F97:$F$100)</f>
        <v>0</v>
      </c>
      <c r="M97" s="794">
        <f>MAX(G97:$G$100)</f>
        <v>0</v>
      </c>
    </row>
    <row r="98" spans="1:13" ht="12" customHeight="1" x14ac:dyDescent="0.2">
      <c r="A98" s="803" t="str">
        <f t="shared" si="12"/>
        <v/>
      </c>
      <c r="B98" s="802"/>
      <c r="C98" s="801"/>
      <c r="D98" s="800" t="str">
        <f>IF(SUM(K98:$K$100)=0,"",SUM(K98:$K$100))</f>
        <v/>
      </c>
      <c r="E98" s="799" t="str">
        <f t="shared" si="10"/>
        <v/>
      </c>
      <c r="F98" s="799"/>
      <c r="G98" s="799" t="str">
        <f>IF(A98="","",SUM(E97:E98))</f>
        <v/>
      </c>
      <c r="H98" s="799" t="str">
        <f t="shared" si="14"/>
        <v/>
      </c>
      <c r="I98" s="798"/>
      <c r="J98" s="797" t="str">
        <f t="shared" si="11"/>
        <v/>
      </c>
      <c r="K98" s="797" t="str">
        <f t="shared" si="13"/>
        <v/>
      </c>
      <c r="L98" s="794">
        <f>MAX(F98:$F$100)</f>
        <v>0</v>
      </c>
      <c r="M98" s="794">
        <f>MAX(G98:$G$100)</f>
        <v>0</v>
      </c>
    </row>
    <row r="99" spans="1:13" ht="12" customHeight="1" x14ac:dyDescent="0.2">
      <c r="A99" s="803" t="str">
        <f t="shared" si="12"/>
        <v/>
      </c>
      <c r="B99" s="802"/>
      <c r="C99" s="801"/>
      <c r="D99" s="800" t="str">
        <f>IF(SUM(K99:$K$100)=0,"",SUM(K99:$K$100))</f>
        <v/>
      </c>
      <c r="E99" s="799" t="str">
        <f t="shared" si="10"/>
        <v/>
      </c>
      <c r="F99" s="799" t="str">
        <f>IF(A99="","",SUM(E98:E99))</f>
        <v/>
      </c>
      <c r="G99" s="799" t="s">
        <v>409</v>
      </c>
      <c r="H99" s="799" t="str">
        <f t="shared" si="14"/>
        <v/>
      </c>
      <c r="I99" s="798"/>
      <c r="J99" s="797" t="str">
        <f t="shared" si="11"/>
        <v/>
      </c>
      <c r="K99" s="797" t="str">
        <f t="shared" si="13"/>
        <v/>
      </c>
      <c r="L99" s="794">
        <f>MAX(F99:$F$100)</f>
        <v>0</v>
      </c>
      <c r="M99" s="794">
        <f>MAX(G99:$G$100)</f>
        <v>0</v>
      </c>
    </row>
    <row r="100" spans="1:13" ht="12" customHeight="1" x14ac:dyDescent="0.2">
      <c r="A100" s="803" t="str">
        <f t="shared" si="12"/>
        <v/>
      </c>
      <c r="B100" s="802"/>
      <c r="C100" s="801"/>
      <c r="D100" s="800" t="str">
        <f>IF(SUM(K100:$K$100)=0,"",SUM(K100:$K$100))</f>
        <v/>
      </c>
      <c r="E100" s="799" t="str">
        <f t="shared" si="10"/>
        <v/>
      </c>
      <c r="F100" s="799"/>
      <c r="G100" s="799" t="str">
        <f>IF(A100="","",SUM(E99:E100))</f>
        <v/>
      </c>
      <c r="H100" s="799" t="str">
        <f t="shared" si="14"/>
        <v/>
      </c>
      <c r="I100" s="798"/>
      <c r="J100" s="797" t="str">
        <f t="shared" si="11"/>
        <v/>
      </c>
      <c r="K100" s="797" t="str">
        <f t="shared" si="13"/>
        <v/>
      </c>
      <c r="L100" s="794">
        <f>MAX(F100:$F$100)</f>
        <v>0</v>
      </c>
      <c r="M100" s="794">
        <f>MAX(G100:$G$100)</f>
        <v>0</v>
      </c>
    </row>
    <row r="101" spans="1:13" x14ac:dyDescent="0.2">
      <c r="A101" s="793" t="s">
        <v>499</v>
      </c>
      <c r="C101" s="794">
        <f>SUM(C12:C100)</f>
        <v>3654000</v>
      </c>
      <c r="D101" s="796">
        <f>SUM(D12:D100)</f>
        <v>311955.82500000001</v>
      </c>
      <c r="E101" s="793"/>
      <c r="F101" s="794">
        <f>SUM(F12:F100)</f>
        <v>3965955.8250000002</v>
      </c>
      <c r="G101" s="794">
        <f>SUM(G12:G100)</f>
        <v>3612139.05</v>
      </c>
      <c r="H101" s="793"/>
      <c r="I101" s="793"/>
      <c r="J101" s="795"/>
      <c r="K101" s="795"/>
      <c r="L101" s="793"/>
    </row>
    <row r="102" spans="1:13" x14ac:dyDescent="0.2">
      <c r="A102" s="793"/>
      <c r="B102" s="793"/>
      <c r="C102" s="793"/>
      <c r="D102" s="793"/>
      <c r="E102" s="793"/>
      <c r="F102" s="793"/>
      <c r="G102" s="793"/>
      <c r="H102" s="793"/>
      <c r="I102" s="793"/>
      <c r="J102" s="794"/>
      <c r="K102" s="794" t="str">
        <f>IF(A102&gt;0,C102*B73*DAYS360(A102,A103)/$F$7,"")</f>
        <v/>
      </c>
      <c r="L102" s="793"/>
    </row>
    <row r="103" spans="1:13" x14ac:dyDescent="0.2">
      <c r="A103" s="793"/>
      <c r="B103" s="793"/>
      <c r="C103" s="793"/>
      <c r="D103" s="793"/>
      <c r="E103" s="793"/>
      <c r="F103" s="793"/>
      <c r="G103" s="793"/>
      <c r="H103" s="793"/>
      <c r="I103" s="793"/>
      <c r="J103" s="793"/>
      <c r="K103" s="793"/>
      <c r="L103" s="793"/>
    </row>
    <row r="104" spans="1:13" x14ac:dyDescent="0.2">
      <c r="A104" s="793"/>
      <c r="B104" s="793"/>
      <c r="C104" s="793"/>
      <c r="D104" s="793"/>
      <c r="E104" s="793"/>
      <c r="F104" s="793"/>
      <c r="G104" s="793"/>
      <c r="H104" s="793"/>
      <c r="I104" s="793"/>
      <c r="J104" s="793"/>
      <c r="K104" s="793"/>
      <c r="L104" s="793"/>
    </row>
    <row r="105" spans="1:13" x14ac:dyDescent="0.2">
      <c r="A105" s="793"/>
      <c r="B105" s="793"/>
      <c r="C105" s="793"/>
      <c r="D105" s="793"/>
      <c r="E105" s="793"/>
      <c r="F105" s="793"/>
      <c r="G105" s="793"/>
      <c r="H105" s="793"/>
      <c r="I105" s="793"/>
      <c r="J105" s="793"/>
      <c r="K105" s="793"/>
      <c r="L105" s="793"/>
    </row>
    <row r="106" spans="1:13" x14ac:dyDescent="0.2">
      <c r="A106" s="793"/>
      <c r="B106" s="793"/>
      <c r="C106" s="793"/>
      <c r="D106" s="793"/>
      <c r="E106" s="793"/>
      <c r="F106" s="793"/>
      <c r="G106" s="793"/>
      <c r="H106" s="793"/>
      <c r="I106" s="793"/>
      <c r="J106" s="793"/>
      <c r="K106" s="793"/>
      <c r="L106" s="793"/>
    </row>
    <row r="107" spans="1:13" x14ac:dyDescent="0.2">
      <c r="A107" s="793"/>
      <c r="B107" s="793"/>
      <c r="C107" s="793"/>
      <c r="D107" s="793"/>
      <c r="E107" s="793"/>
      <c r="F107" s="793"/>
      <c r="G107" s="793"/>
      <c r="H107" s="793"/>
      <c r="I107" s="793"/>
      <c r="J107" s="793"/>
      <c r="K107" s="793"/>
      <c r="L107" s="793"/>
    </row>
    <row r="108" spans="1:13" x14ac:dyDescent="0.2">
      <c r="A108" s="793"/>
      <c r="B108" s="793"/>
      <c r="C108" s="793"/>
      <c r="D108" s="793"/>
      <c r="E108" s="793"/>
      <c r="F108" s="793"/>
      <c r="G108" s="793"/>
      <c r="H108" s="793"/>
      <c r="I108" s="793"/>
      <c r="J108" s="793"/>
      <c r="K108" s="793"/>
      <c r="L108" s="793"/>
    </row>
    <row r="109" spans="1:13" x14ac:dyDescent="0.2">
      <c r="A109" s="793"/>
      <c r="B109" s="793"/>
      <c r="C109" s="793"/>
      <c r="D109" s="793"/>
      <c r="E109" s="793"/>
      <c r="F109" s="793"/>
      <c r="G109" s="793"/>
      <c r="H109" s="793"/>
      <c r="I109" s="793"/>
      <c r="J109" s="793"/>
      <c r="K109" s="793"/>
      <c r="L109" s="793"/>
    </row>
    <row r="110" spans="1:13" x14ac:dyDescent="0.2">
      <c r="A110" s="793"/>
      <c r="B110" s="793"/>
      <c r="C110" s="793"/>
      <c r="D110" s="793"/>
      <c r="E110" s="793"/>
      <c r="F110" s="793"/>
      <c r="G110" s="793"/>
      <c r="H110" s="793"/>
      <c r="I110" s="793"/>
      <c r="J110" s="793"/>
      <c r="K110" s="793"/>
      <c r="L110" s="793"/>
    </row>
    <row r="111" spans="1:13" x14ac:dyDescent="0.2">
      <c r="A111" s="793"/>
      <c r="B111" s="793"/>
      <c r="C111" s="793"/>
      <c r="D111" s="793"/>
      <c r="E111" s="793"/>
      <c r="F111" s="793"/>
      <c r="G111" s="793"/>
      <c r="H111" s="793"/>
      <c r="I111" s="793"/>
      <c r="J111" s="793"/>
      <c r="K111" s="793"/>
      <c r="L111" s="793"/>
    </row>
    <row r="112" spans="1:13" x14ac:dyDescent="0.2">
      <c r="A112" s="793"/>
      <c r="B112" s="793"/>
      <c r="C112" s="793"/>
      <c r="D112" s="793"/>
      <c r="E112" s="793"/>
      <c r="F112" s="793"/>
      <c r="G112" s="793"/>
      <c r="H112" s="793"/>
      <c r="I112" s="793"/>
      <c r="J112" s="793"/>
      <c r="K112" s="793"/>
      <c r="L112" s="793"/>
    </row>
    <row r="113" spans="1:12" x14ac:dyDescent="0.2">
      <c r="A113" s="793"/>
      <c r="B113" s="793"/>
      <c r="C113" s="793"/>
      <c r="D113" s="793"/>
      <c r="E113" s="793"/>
      <c r="F113" s="793"/>
      <c r="G113" s="793"/>
      <c r="H113" s="793"/>
      <c r="I113" s="793"/>
      <c r="J113" s="793"/>
      <c r="K113" s="793"/>
      <c r="L113" s="793"/>
    </row>
    <row r="114" spans="1:12" x14ac:dyDescent="0.2">
      <c r="A114" s="793"/>
      <c r="B114" s="793"/>
      <c r="C114" s="793"/>
      <c r="D114" s="793"/>
      <c r="E114" s="793"/>
      <c r="F114" s="793"/>
      <c r="G114" s="793"/>
      <c r="H114" s="793"/>
      <c r="I114" s="793"/>
      <c r="J114" s="793"/>
      <c r="K114" s="793"/>
      <c r="L114" s="793"/>
    </row>
    <row r="115" spans="1:12" x14ac:dyDescent="0.2">
      <c r="A115" s="793"/>
      <c r="B115" s="793"/>
      <c r="C115" s="793"/>
      <c r="D115" s="793"/>
      <c r="E115" s="793"/>
      <c r="F115" s="793"/>
      <c r="G115" s="793"/>
      <c r="H115" s="793"/>
      <c r="I115" s="793"/>
      <c r="J115" s="793"/>
      <c r="K115" s="793"/>
      <c r="L115" s="793"/>
    </row>
    <row r="116" spans="1:12" x14ac:dyDescent="0.2">
      <c r="A116" s="793"/>
      <c r="B116" s="793"/>
      <c r="C116" s="793"/>
      <c r="D116" s="793"/>
      <c r="E116" s="793"/>
      <c r="F116" s="793"/>
      <c r="G116" s="793"/>
      <c r="H116" s="793"/>
      <c r="I116" s="793"/>
      <c r="J116" s="793"/>
      <c r="K116" s="793"/>
      <c r="L116" s="793"/>
    </row>
    <row r="117" spans="1:12" x14ac:dyDescent="0.2">
      <c r="A117" s="793"/>
      <c r="B117" s="793"/>
      <c r="C117" s="793"/>
      <c r="D117" s="793"/>
      <c r="E117" s="793"/>
      <c r="F117" s="793"/>
      <c r="G117" s="793"/>
      <c r="H117" s="793"/>
      <c r="I117" s="793"/>
      <c r="J117" s="793"/>
      <c r="K117" s="793"/>
      <c r="L117" s="793"/>
    </row>
    <row r="118" spans="1:12" x14ac:dyDescent="0.2">
      <c r="A118" s="793"/>
      <c r="B118" s="793"/>
      <c r="C118" s="793"/>
      <c r="D118" s="793"/>
      <c r="E118" s="793"/>
      <c r="F118" s="793"/>
      <c r="G118" s="793"/>
      <c r="H118" s="793"/>
      <c r="I118" s="793"/>
      <c r="J118" s="793"/>
      <c r="K118" s="793"/>
      <c r="L118" s="793"/>
    </row>
    <row r="119" spans="1:12" x14ac:dyDescent="0.2">
      <c r="A119" s="793"/>
      <c r="B119" s="793"/>
      <c r="C119" s="793"/>
      <c r="D119" s="793"/>
      <c r="E119" s="793"/>
      <c r="F119" s="793"/>
      <c r="G119" s="793"/>
      <c r="H119" s="793"/>
      <c r="I119" s="793"/>
      <c r="J119" s="793"/>
      <c r="K119" s="793"/>
      <c r="L119" s="793"/>
    </row>
    <row r="120" spans="1:12" x14ac:dyDescent="0.2">
      <c r="A120" s="793"/>
      <c r="B120" s="793"/>
      <c r="C120" s="793"/>
      <c r="D120" s="793"/>
      <c r="E120" s="793"/>
      <c r="F120" s="793"/>
      <c r="G120" s="793"/>
      <c r="H120" s="793"/>
      <c r="I120" s="793"/>
      <c r="J120" s="793"/>
      <c r="K120" s="793"/>
      <c r="L120" s="793"/>
    </row>
    <row r="121" spans="1:12" x14ac:dyDescent="0.2">
      <c r="A121" s="793"/>
      <c r="B121" s="793"/>
      <c r="C121" s="793"/>
      <c r="D121" s="793"/>
      <c r="E121" s="793"/>
      <c r="F121" s="793"/>
      <c r="G121" s="793"/>
      <c r="H121" s="793"/>
      <c r="I121" s="793"/>
      <c r="J121" s="793"/>
      <c r="K121" s="793"/>
      <c r="L121" s="793"/>
    </row>
    <row r="122" spans="1:12" x14ac:dyDescent="0.2">
      <c r="A122" s="793"/>
      <c r="B122" s="793"/>
      <c r="C122" s="793"/>
      <c r="D122" s="793"/>
      <c r="E122" s="793"/>
      <c r="F122" s="793"/>
      <c r="G122" s="793"/>
      <c r="H122" s="793"/>
      <c r="I122" s="793"/>
      <c r="J122" s="793"/>
      <c r="K122" s="793"/>
      <c r="L122" s="793"/>
    </row>
    <row r="123" spans="1:12" x14ac:dyDescent="0.2">
      <c r="A123" s="793"/>
      <c r="B123" s="793"/>
      <c r="C123" s="793"/>
      <c r="D123" s="793"/>
      <c r="E123" s="793"/>
      <c r="F123" s="793"/>
      <c r="G123" s="793"/>
      <c r="H123" s="793"/>
      <c r="I123" s="793"/>
      <c r="J123" s="793"/>
      <c r="K123" s="793"/>
      <c r="L123" s="793"/>
    </row>
  </sheetData>
  <dataValidations count="1">
    <dataValidation type="list" allowBlank="1" showInputMessage="1" showErrorMessage="1" sqref="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xr:uid="{875F096A-7F61-4ED4-86AA-44B99FBAE6A6}">
      <formula1>$L$1:$L$2</formula1>
    </dataValidation>
  </dataValidations>
  <pageMargins left="0.25" right="0.25" top="1" bottom="0.4" header="0.5" footer="0.2"/>
  <pageSetup scale="9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0BB7-7D77-4543-8AED-D2A37F20DA51}">
  <sheetPr>
    <tabColor indexed="43"/>
  </sheetPr>
  <dimension ref="A1:N102"/>
  <sheetViews>
    <sheetView showGridLines="0" workbookViewId="0">
      <selection activeCell="D34" sqref="D34"/>
    </sheetView>
  </sheetViews>
  <sheetFormatPr defaultRowHeight="11.25" x14ac:dyDescent="0.2"/>
  <cols>
    <col min="1" max="1" width="9.140625" style="791"/>
    <col min="2" max="2" width="9.140625" style="792"/>
    <col min="3" max="4" width="13.140625" style="791" customWidth="1"/>
    <col min="5" max="5" width="15.7109375" style="791" customWidth="1"/>
    <col min="6" max="6" width="13.140625" style="791" customWidth="1"/>
    <col min="7" max="7" width="18.42578125" style="791" customWidth="1"/>
    <col min="8" max="8" width="13.140625" style="791" customWidth="1"/>
    <col min="9" max="9" width="9.140625" style="791"/>
    <col min="10" max="11" width="10.28515625" style="791" hidden="1" customWidth="1"/>
    <col min="12" max="13" width="12.28515625" style="791" hidden="1" customWidth="1"/>
    <col min="14" max="14" width="9.140625" style="791" hidden="1" customWidth="1"/>
    <col min="15" max="258" width="9.140625" style="791"/>
    <col min="259" max="260" width="13.140625" style="791" customWidth="1"/>
    <col min="261" max="261" width="15.7109375" style="791" customWidth="1"/>
    <col min="262" max="262" width="13.140625" style="791" customWidth="1"/>
    <col min="263" max="263" width="18.42578125" style="791" customWidth="1"/>
    <col min="264" max="264" width="13.140625" style="791" customWidth="1"/>
    <col min="265" max="265" width="9.140625" style="791"/>
    <col min="266" max="270" width="0" style="791" hidden="1" customWidth="1"/>
    <col min="271" max="514" width="9.140625" style="791"/>
    <col min="515" max="516" width="13.140625" style="791" customWidth="1"/>
    <col min="517" max="517" width="15.7109375" style="791" customWidth="1"/>
    <col min="518" max="518" width="13.140625" style="791" customWidth="1"/>
    <col min="519" max="519" width="18.42578125" style="791" customWidth="1"/>
    <col min="520" max="520" width="13.140625" style="791" customWidth="1"/>
    <col min="521" max="521" width="9.140625" style="791"/>
    <col min="522" max="526" width="0" style="791" hidden="1" customWidth="1"/>
    <col min="527" max="770" width="9.140625" style="791"/>
    <col min="771" max="772" width="13.140625" style="791" customWidth="1"/>
    <col min="773" max="773" width="15.7109375" style="791" customWidth="1"/>
    <col min="774" max="774" width="13.140625" style="791" customWidth="1"/>
    <col min="775" max="775" width="18.42578125" style="791" customWidth="1"/>
    <col min="776" max="776" width="13.140625" style="791" customWidth="1"/>
    <col min="777" max="777" width="9.140625" style="791"/>
    <col min="778" max="782" width="0" style="791" hidden="1" customWidth="1"/>
    <col min="783" max="1026" width="9.140625" style="791"/>
    <col min="1027" max="1028" width="13.140625" style="791" customWidth="1"/>
    <col min="1029" max="1029" width="15.7109375" style="791" customWidth="1"/>
    <col min="1030" max="1030" width="13.140625" style="791" customWidth="1"/>
    <col min="1031" max="1031" width="18.42578125" style="791" customWidth="1"/>
    <col min="1032" max="1032" width="13.140625" style="791" customWidth="1"/>
    <col min="1033" max="1033" width="9.140625" style="791"/>
    <col min="1034" max="1038" width="0" style="791" hidden="1" customWidth="1"/>
    <col min="1039" max="1282" width="9.140625" style="791"/>
    <col min="1283" max="1284" width="13.140625" style="791" customWidth="1"/>
    <col min="1285" max="1285" width="15.7109375" style="791" customWidth="1"/>
    <col min="1286" max="1286" width="13.140625" style="791" customWidth="1"/>
    <col min="1287" max="1287" width="18.42578125" style="791" customWidth="1"/>
    <col min="1288" max="1288" width="13.140625" style="791" customWidth="1"/>
    <col min="1289" max="1289" width="9.140625" style="791"/>
    <col min="1290" max="1294" width="0" style="791" hidden="1" customWidth="1"/>
    <col min="1295" max="1538" width="9.140625" style="791"/>
    <col min="1539" max="1540" width="13.140625" style="791" customWidth="1"/>
    <col min="1541" max="1541" width="15.7109375" style="791" customWidth="1"/>
    <col min="1542" max="1542" width="13.140625" style="791" customWidth="1"/>
    <col min="1543" max="1543" width="18.42578125" style="791" customWidth="1"/>
    <col min="1544" max="1544" width="13.140625" style="791" customWidth="1"/>
    <col min="1545" max="1545" width="9.140625" style="791"/>
    <col min="1546" max="1550" width="0" style="791" hidden="1" customWidth="1"/>
    <col min="1551" max="1794" width="9.140625" style="791"/>
    <col min="1795" max="1796" width="13.140625" style="791" customWidth="1"/>
    <col min="1797" max="1797" width="15.7109375" style="791" customWidth="1"/>
    <col min="1798" max="1798" width="13.140625" style="791" customWidth="1"/>
    <col min="1799" max="1799" width="18.42578125" style="791" customWidth="1"/>
    <col min="1800" max="1800" width="13.140625" style="791" customWidth="1"/>
    <col min="1801" max="1801" width="9.140625" style="791"/>
    <col min="1802" max="1806" width="0" style="791" hidden="1" customWidth="1"/>
    <col min="1807" max="2050" width="9.140625" style="791"/>
    <col min="2051" max="2052" width="13.140625" style="791" customWidth="1"/>
    <col min="2053" max="2053" width="15.7109375" style="791" customWidth="1"/>
    <col min="2054" max="2054" width="13.140625" style="791" customWidth="1"/>
    <col min="2055" max="2055" width="18.42578125" style="791" customWidth="1"/>
    <col min="2056" max="2056" width="13.140625" style="791" customWidth="1"/>
    <col min="2057" max="2057" width="9.140625" style="791"/>
    <col min="2058" max="2062" width="0" style="791" hidden="1" customWidth="1"/>
    <col min="2063" max="2306" width="9.140625" style="791"/>
    <col min="2307" max="2308" width="13.140625" style="791" customWidth="1"/>
    <col min="2309" max="2309" width="15.7109375" style="791" customWidth="1"/>
    <col min="2310" max="2310" width="13.140625" style="791" customWidth="1"/>
    <col min="2311" max="2311" width="18.42578125" style="791" customWidth="1"/>
    <col min="2312" max="2312" width="13.140625" style="791" customWidth="1"/>
    <col min="2313" max="2313" width="9.140625" style="791"/>
    <col min="2314" max="2318" width="0" style="791" hidden="1" customWidth="1"/>
    <col min="2319" max="2562" width="9.140625" style="791"/>
    <col min="2563" max="2564" width="13.140625" style="791" customWidth="1"/>
    <col min="2565" max="2565" width="15.7109375" style="791" customWidth="1"/>
    <col min="2566" max="2566" width="13.140625" style="791" customWidth="1"/>
    <col min="2567" max="2567" width="18.42578125" style="791" customWidth="1"/>
    <col min="2568" max="2568" width="13.140625" style="791" customWidth="1"/>
    <col min="2569" max="2569" width="9.140625" style="791"/>
    <col min="2570" max="2574" width="0" style="791" hidden="1" customWidth="1"/>
    <col min="2575" max="2818" width="9.140625" style="791"/>
    <col min="2819" max="2820" width="13.140625" style="791" customWidth="1"/>
    <col min="2821" max="2821" width="15.7109375" style="791" customWidth="1"/>
    <col min="2822" max="2822" width="13.140625" style="791" customWidth="1"/>
    <col min="2823" max="2823" width="18.42578125" style="791" customWidth="1"/>
    <col min="2824" max="2824" width="13.140625" style="791" customWidth="1"/>
    <col min="2825" max="2825" width="9.140625" style="791"/>
    <col min="2826" max="2830" width="0" style="791" hidden="1" customWidth="1"/>
    <col min="2831" max="3074" width="9.140625" style="791"/>
    <col min="3075" max="3076" width="13.140625" style="791" customWidth="1"/>
    <col min="3077" max="3077" width="15.7109375" style="791" customWidth="1"/>
    <col min="3078" max="3078" width="13.140625" style="791" customWidth="1"/>
    <col min="3079" max="3079" width="18.42578125" style="791" customWidth="1"/>
    <col min="3080" max="3080" width="13.140625" style="791" customWidth="1"/>
    <col min="3081" max="3081" width="9.140625" style="791"/>
    <col min="3082" max="3086" width="0" style="791" hidden="1" customWidth="1"/>
    <col min="3087" max="3330" width="9.140625" style="791"/>
    <col min="3331" max="3332" width="13.140625" style="791" customWidth="1"/>
    <col min="3333" max="3333" width="15.7109375" style="791" customWidth="1"/>
    <col min="3334" max="3334" width="13.140625" style="791" customWidth="1"/>
    <col min="3335" max="3335" width="18.42578125" style="791" customWidth="1"/>
    <col min="3336" max="3336" width="13.140625" style="791" customWidth="1"/>
    <col min="3337" max="3337" width="9.140625" style="791"/>
    <col min="3338" max="3342" width="0" style="791" hidden="1" customWidth="1"/>
    <col min="3343" max="3586" width="9.140625" style="791"/>
    <col min="3587" max="3588" width="13.140625" style="791" customWidth="1"/>
    <col min="3589" max="3589" width="15.7109375" style="791" customWidth="1"/>
    <col min="3590" max="3590" width="13.140625" style="791" customWidth="1"/>
    <col min="3591" max="3591" width="18.42578125" style="791" customWidth="1"/>
    <col min="3592" max="3592" width="13.140625" style="791" customWidth="1"/>
    <col min="3593" max="3593" width="9.140625" style="791"/>
    <col min="3594" max="3598" width="0" style="791" hidden="1" customWidth="1"/>
    <col min="3599" max="3842" width="9.140625" style="791"/>
    <col min="3843" max="3844" width="13.140625" style="791" customWidth="1"/>
    <col min="3845" max="3845" width="15.7109375" style="791" customWidth="1"/>
    <col min="3846" max="3846" width="13.140625" style="791" customWidth="1"/>
    <col min="3847" max="3847" width="18.42578125" style="791" customWidth="1"/>
    <col min="3848" max="3848" width="13.140625" style="791" customWidth="1"/>
    <col min="3849" max="3849" width="9.140625" style="791"/>
    <col min="3850" max="3854" width="0" style="791" hidden="1" customWidth="1"/>
    <col min="3855" max="4098" width="9.140625" style="791"/>
    <col min="4099" max="4100" width="13.140625" style="791" customWidth="1"/>
    <col min="4101" max="4101" width="15.7109375" style="791" customWidth="1"/>
    <col min="4102" max="4102" width="13.140625" style="791" customWidth="1"/>
    <col min="4103" max="4103" width="18.42578125" style="791" customWidth="1"/>
    <col min="4104" max="4104" width="13.140625" style="791" customWidth="1"/>
    <col min="4105" max="4105" width="9.140625" style="791"/>
    <col min="4106" max="4110" width="0" style="791" hidden="1" customWidth="1"/>
    <col min="4111" max="4354" width="9.140625" style="791"/>
    <col min="4355" max="4356" width="13.140625" style="791" customWidth="1"/>
    <col min="4357" max="4357" width="15.7109375" style="791" customWidth="1"/>
    <col min="4358" max="4358" width="13.140625" style="791" customWidth="1"/>
    <col min="4359" max="4359" width="18.42578125" style="791" customWidth="1"/>
    <col min="4360" max="4360" width="13.140625" style="791" customWidth="1"/>
    <col min="4361" max="4361" width="9.140625" style="791"/>
    <col min="4362" max="4366" width="0" style="791" hidden="1" customWidth="1"/>
    <col min="4367" max="4610" width="9.140625" style="791"/>
    <col min="4611" max="4612" width="13.140625" style="791" customWidth="1"/>
    <col min="4613" max="4613" width="15.7109375" style="791" customWidth="1"/>
    <col min="4614" max="4614" width="13.140625" style="791" customWidth="1"/>
    <col min="4615" max="4615" width="18.42578125" style="791" customWidth="1"/>
    <col min="4616" max="4616" width="13.140625" style="791" customWidth="1"/>
    <col min="4617" max="4617" width="9.140625" style="791"/>
    <col min="4618" max="4622" width="0" style="791" hidden="1" customWidth="1"/>
    <col min="4623" max="4866" width="9.140625" style="791"/>
    <col min="4867" max="4868" width="13.140625" style="791" customWidth="1"/>
    <col min="4869" max="4869" width="15.7109375" style="791" customWidth="1"/>
    <col min="4870" max="4870" width="13.140625" style="791" customWidth="1"/>
    <col min="4871" max="4871" width="18.42578125" style="791" customWidth="1"/>
    <col min="4872" max="4872" width="13.140625" style="791" customWidth="1"/>
    <col min="4873" max="4873" width="9.140625" style="791"/>
    <col min="4874" max="4878" width="0" style="791" hidden="1" customWidth="1"/>
    <col min="4879" max="5122" width="9.140625" style="791"/>
    <col min="5123" max="5124" width="13.140625" style="791" customWidth="1"/>
    <col min="5125" max="5125" width="15.7109375" style="791" customWidth="1"/>
    <col min="5126" max="5126" width="13.140625" style="791" customWidth="1"/>
    <col min="5127" max="5127" width="18.42578125" style="791" customWidth="1"/>
    <col min="5128" max="5128" width="13.140625" style="791" customWidth="1"/>
    <col min="5129" max="5129" width="9.140625" style="791"/>
    <col min="5130" max="5134" width="0" style="791" hidden="1" customWidth="1"/>
    <col min="5135" max="5378" width="9.140625" style="791"/>
    <col min="5379" max="5380" width="13.140625" style="791" customWidth="1"/>
    <col min="5381" max="5381" width="15.7109375" style="791" customWidth="1"/>
    <col min="5382" max="5382" width="13.140625" style="791" customWidth="1"/>
    <col min="5383" max="5383" width="18.42578125" style="791" customWidth="1"/>
    <col min="5384" max="5384" width="13.140625" style="791" customWidth="1"/>
    <col min="5385" max="5385" width="9.140625" style="791"/>
    <col min="5386" max="5390" width="0" style="791" hidden="1" customWidth="1"/>
    <col min="5391" max="5634" width="9.140625" style="791"/>
    <col min="5635" max="5636" width="13.140625" style="791" customWidth="1"/>
    <col min="5637" max="5637" width="15.7109375" style="791" customWidth="1"/>
    <col min="5638" max="5638" width="13.140625" style="791" customWidth="1"/>
    <col min="5639" max="5639" width="18.42578125" style="791" customWidth="1"/>
    <col min="5640" max="5640" width="13.140625" style="791" customWidth="1"/>
    <col min="5641" max="5641" width="9.140625" style="791"/>
    <col min="5642" max="5646" width="0" style="791" hidden="1" customWidth="1"/>
    <col min="5647" max="5890" width="9.140625" style="791"/>
    <col min="5891" max="5892" width="13.140625" style="791" customWidth="1"/>
    <col min="5893" max="5893" width="15.7109375" style="791" customWidth="1"/>
    <col min="5894" max="5894" width="13.140625" style="791" customWidth="1"/>
    <col min="5895" max="5895" width="18.42578125" style="791" customWidth="1"/>
    <col min="5896" max="5896" width="13.140625" style="791" customWidth="1"/>
    <col min="5897" max="5897" width="9.140625" style="791"/>
    <col min="5898" max="5902" width="0" style="791" hidden="1" customWidth="1"/>
    <col min="5903" max="6146" width="9.140625" style="791"/>
    <col min="6147" max="6148" width="13.140625" style="791" customWidth="1"/>
    <col min="6149" max="6149" width="15.7109375" style="791" customWidth="1"/>
    <col min="6150" max="6150" width="13.140625" style="791" customWidth="1"/>
    <col min="6151" max="6151" width="18.42578125" style="791" customWidth="1"/>
    <col min="6152" max="6152" width="13.140625" style="791" customWidth="1"/>
    <col min="6153" max="6153" width="9.140625" style="791"/>
    <col min="6154" max="6158" width="0" style="791" hidden="1" customWidth="1"/>
    <col min="6159" max="6402" width="9.140625" style="791"/>
    <col min="6403" max="6404" width="13.140625" style="791" customWidth="1"/>
    <col min="6405" max="6405" width="15.7109375" style="791" customWidth="1"/>
    <col min="6406" max="6406" width="13.140625" style="791" customWidth="1"/>
    <col min="6407" max="6407" width="18.42578125" style="791" customWidth="1"/>
    <col min="6408" max="6408" width="13.140625" style="791" customWidth="1"/>
    <col min="6409" max="6409" width="9.140625" style="791"/>
    <col min="6410" max="6414" width="0" style="791" hidden="1" customWidth="1"/>
    <col min="6415" max="6658" width="9.140625" style="791"/>
    <col min="6659" max="6660" width="13.140625" style="791" customWidth="1"/>
    <col min="6661" max="6661" width="15.7109375" style="791" customWidth="1"/>
    <col min="6662" max="6662" width="13.140625" style="791" customWidth="1"/>
    <col min="6663" max="6663" width="18.42578125" style="791" customWidth="1"/>
    <col min="6664" max="6664" width="13.140625" style="791" customWidth="1"/>
    <col min="6665" max="6665" width="9.140625" style="791"/>
    <col min="6666" max="6670" width="0" style="791" hidden="1" customWidth="1"/>
    <col min="6671" max="6914" width="9.140625" style="791"/>
    <col min="6915" max="6916" width="13.140625" style="791" customWidth="1"/>
    <col min="6917" max="6917" width="15.7109375" style="791" customWidth="1"/>
    <col min="6918" max="6918" width="13.140625" style="791" customWidth="1"/>
    <col min="6919" max="6919" width="18.42578125" style="791" customWidth="1"/>
    <col min="6920" max="6920" width="13.140625" style="791" customWidth="1"/>
    <col min="6921" max="6921" width="9.140625" style="791"/>
    <col min="6922" max="6926" width="0" style="791" hidden="1" customWidth="1"/>
    <col min="6927" max="7170" width="9.140625" style="791"/>
    <col min="7171" max="7172" width="13.140625" style="791" customWidth="1"/>
    <col min="7173" max="7173" width="15.7109375" style="791" customWidth="1"/>
    <col min="7174" max="7174" width="13.140625" style="791" customWidth="1"/>
    <col min="7175" max="7175" width="18.42578125" style="791" customWidth="1"/>
    <col min="7176" max="7176" width="13.140625" style="791" customWidth="1"/>
    <col min="7177" max="7177" width="9.140625" style="791"/>
    <col min="7178" max="7182" width="0" style="791" hidden="1" customWidth="1"/>
    <col min="7183" max="7426" width="9.140625" style="791"/>
    <col min="7427" max="7428" width="13.140625" style="791" customWidth="1"/>
    <col min="7429" max="7429" width="15.7109375" style="791" customWidth="1"/>
    <col min="7430" max="7430" width="13.140625" style="791" customWidth="1"/>
    <col min="7431" max="7431" width="18.42578125" style="791" customWidth="1"/>
    <col min="7432" max="7432" width="13.140625" style="791" customWidth="1"/>
    <col min="7433" max="7433" width="9.140625" style="791"/>
    <col min="7434" max="7438" width="0" style="791" hidden="1" customWidth="1"/>
    <col min="7439" max="7682" width="9.140625" style="791"/>
    <col min="7683" max="7684" width="13.140625" style="791" customWidth="1"/>
    <col min="7685" max="7685" width="15.7109375" style="791" customWidth="1"/>
    <col min="7686" max="7686" width="13.140625" style="791" customWidth="1"/>
    <col min="7687" max="7687" width="18.42578125" style="791" customWidth="1"/>
    <col min="7688" max="7688" width="13.140625" style="791" customWidth="1"/>
    <col min="7689" max="7689" width="9.140625" style="791"/>
    <col min="7690" max="7694" width="0" style="791" hidden="1" customWidth="1"/>
    <col min="7695" max="7938" width="9.140625" style="791"/>
    <col min="7939" max="7940" width="13.140625" style="791" customWidth="1"/>
    <col min="7941" max="7941" width="15.7109375" style="791" customWidth="1"/>
    <col min="7942" max="7942" width="13.140625" style="791" customWidth="1"/>
    <col min="7943" max="7943" width="18.42578125" style="791" customWidth="1"/>
    <col min="7944" max="7944" width="13.140625" style="791" customWidth="1"/>
    <col min="7945" max="7945" width="9.140625" style="791"/>
    <col min="7946" max="7950" width="0" style="791" hidden="1" customWidth="1"/>
    <col min="7951" max="8194" width="9.140625" style="791"/>
    <col min="8195" max="8196" width="13.140625" style="791" customWidth="1"/>
    <col min="8197" max="8197" width="15.7109375" style="791" customWidth="1"/>
    <col min="8198" max="8198" width="13.140625" style="791" customWidth="1"/>
    <col min="8199" max="8199" width="18.42578125" style="791" customWidth="1"/>
    <col min="8200" max="8200" width="13.140625" style="791" customWidth="1"/>
    <col min="8201" max="8201" width="9.140625" style="791"/>
    <col min="8202" max="8206" width="0" style="791" hidden="1" customWidth="1"/>
    <col min="8207" max="8450" width="9.140625" style="791"/>
    <col min="8451" max="8452" width="13.140625" style="791" customWidth="1"/>
    <col min="8453" max="8453" width="15.7109375" style="791" customWidth="1"/>
    <col min="8454" max="8454" width="13.140625" style="791" customWidth="1"/>
    <col min="8455" max="8455" width="18.42578125" style="791" customWidth="1"/>
    <col min="8456" max="8456" width="13.140625" style="791" customWidth="1"/>
    <col min="8457" max="8457" width="9.140625" style="791"/>
    <col min="8458" max="8462" width="0" style="791" hidden="1" customWidth="1"/>
    <col min="8463" max="8706" width="9.140625" style="791"/>
    <col min="8707" max="8708" width="13.140625" style="791" customWidth="1"/>
    <col min="8709" max="8709" width="15.7109375" style="791" customWidth="1"/>
    <col min="8710" max="8710" width="13.140625" style="791" customWidth="1"/>
    <col min="8711" max="8711" width="18.42578125" style="791" customWidth="1"/>
    <col min="8712" max="8712" width="13.140625" style="791" customWidth="1"/>
    <col min="8713" max="8713" width="9.140625" style="791"/>
    <col min="8714" max="8718" width="0" style="791" hidden="1" customWidth="1"/>
    <col min="8719" max="8962" width="9.140625" style="791"/>
    <col min="8963" max="8964" width="13.140625" style="791" customWidth="1"/>
    <col min="8965" max="8965" width="15.7109375" style="791" customWidth="1"/>
    <col min="8966" max="8966" width="13.140625" style="791" customWidth="1"/>
    <col min="8967" max="8967" width="18.42578125" style="791" customWidth="1"/>
    <col min="8968" max="8968" width="13.140625" style="791" customWidth="1"/>
    <col min="8969" max="8969" width="9.140625" style="791"/>
    <col min="8970" max="8974" width="0" style="791" hidden="1" customWidth="1"/>
    <col min="8975" max="9218" width="9.140625" style="791"/>
    <col min="9219" max="9220" width="13.140625" style="791" customWidth="1"/>
    <col min="9221" max="9221" width="15.7109375" style="791" customWidth="1"/>
    <col min="9222" max="9222" width="13.140625" style="791" customWidth="1"/>
    <col min="9223" max="9223" width="18.42578125" style="791" customWidth="1"/>
    <col min="9224" max="9224" width="13.140625" style="791" customWidth="1"/>
    <col min="9225" max="9225" width="9.140625" style="791"/>
    <col min="9226" max="9230" width="0" style="791" hidden="1" customWidth="1"/>
    <col min="9231" max="9474" width="9.140625" style="791"/>
    <col min="9475" max="9476" width="13.140625" style="791" customWidth="1"/>
    <col min="9477" max="9477" width="15.7109375" style="791" customWidth="1"/>
    <col min="9478" max="9478" width="13.140625" style="791" customWidth="1"/>
    <col min="9479" max="9479" width="18.42578125" style="791" customWidth="1"/>
    <col min="9480" max="9480" width="13.140625" style="791" customWidth="1"/>
    <col min="9481" max="9481" width="9.140625" style="791"/>
    <col min="9482" max="9486" width="0" style="791" hidden="1" customWidth="1"/>
    <col min="9487" max="9730" width="9.140625" style="791"/>
    <col min="9731" max="9732" width="13.140625" style="791" customWidth="1"/>
    <col min="9733" max="9733" width="15.7109375" style="791" customWidth="1"/>
    <col min="9734" max="9734" width="13.140625" style="791" customWidth="1"/>
    <col min="9735" max="9735" width="18.42578125" style="791" customWidth="1"/>
    <col min="9736" max="9736" width="13.140625" style="791" customWidth="1"/>
    <col min="9737" max="9737" width="9.140625" style="791"/>
    <col min="9738" max="9742" width="0" style="791" hidden="1" customWidth="1"/>
    <col min="9743" max="9986" width="9.140625" style="791"/>
    <col min="9987" max="9988" width="13.140625" style="791" customWidth="1"/>
    <col min="9989" max="9989" width="15.7109375" style="791" customWidth="1"/>
    <col min="9990" max="9990" width="13.140625" style="791" customWidth="1"/>
    <col min="9991" max="9991" width="18.42578125" style="791" customWidth="1"/>
    <col min="9992" max="9992" width="13.140625" style="791" customWidth="1"/>
    <col min="9993" max="9993" width="9.140625" style="791"/>
    <col min="9994" max="9998" width="0" style="791" hidden="1" customWidth="1"/>
    <col min="9999" max="10242" width="9.140625" style="791"/>
    <col min="10243" max="10244" width="13.140625" style="791" customWidth="1"/>
    <col min="10245" max="10245" width="15.7109375" style="791" customWidth="1"/>
    <col min="10246" max="10246" width="13.140625" style="791" customWidth="1"/>
    <col min="10247" max="10247" width="18.42578125" style="791" customWidth="1"/>
    <col min="10248" max="10248" width="13.140625" style="791" customWidth="1"/>
    <col min="10249" max="10249" width="9.140625" style="791"/>
    <col min="10250" max="10254" width="0" style="791" hidden="1" customWidth="1"/>
    <col min="10255" max="10498" width="9.140625" style="791"/>
    <col min="10499" max="10500" width="13.140625" style="791" customWidth="1"/>
    <col min="10501" max="10501" width="15.7109375" style="791" customWidth="1"/>
    <col min="10502" max="10502" width="13.140625" style="791" customWidth="1"/>
    <col min="10503" max="10503" width="18.42578125" style="791" customWidth="1"/>
    <col min="10504" max="10504" width="13.140625" style="791" customWidth="1"/>
    <col min="10505" max="10505" width="9.140625" style="791"/>
    <col min="10506" max="10510" width="0" style="791" hidden="1" customWidth="1"/>
    <col min="10511" max="10754" width="9.140625" style="791"/>
    <col min="10755" max="10756" width="13.140625" style="791" customWidth="1"/>
    <col min="10757" max="10757" width="15.7109375" style="791" customWidth="1"/>
    <col min="10758" max="10758" width="13.140625" style="791" customWidth="1"/>
    <col min="10759" max="10759" width="18.42578125" style="791" customWidth="1"/>
    <col min="10760" max="10760" width="13.140625" style="791" customWidth="1"/>
    <col min="10761" max="10761" width="9.140625" style="791"/>
    <col min="10762" max="10766" width="0" style="791" hidden="1" customWidth="1"/>
    <col min="10767" max="11010" width="9.140625" style="791"/>
    <col min="11011" max="11012" width="13.140625" style="791" customWidth="1"/>
    <col min="11013" max="11013" width="15.7109375" style="791" customWidth="1"/>
    <col min="11014" max="11014" width="13.140625" style="791" customWidth="1"/>
    <col min="11015" max="11015" width="18.42578125" style="791" customWidth="1"/>
    <col min="11016" max="11016" width="13.140625" style="791" customWidth="1"/>
    <col min="11017" max="11017" width="9.140625" style="791"/>
    <col min="11018" max="11022" width="0" style="791" hidden="1" customWidth="1"/>
    <col min="11023" max="11266" width="9.140625" style="791"/>
    <col min="11267" max="11268" width="13.140625" style="791" customWidth="1"/>
    <col min="11269" max="11269" width="15.7109375" style="791" customWidth="1"/>
    <col min="11270" max="11270" width="13.140625" style="791" customWidth="1"/>
    <col min="11271" max="11271" width="18.42578125" style="791" customWidth="1"/>
    <col min="11272" max="11272" width="13.140625" style="791" customWidth="1"/>
    <col min="11273" max="11273" width="9.140625" style="791"/>
    <col min="11274" max="11278" width="0" style="791" hidden="1" customWidth="1"/>
    <col min="11279" max="11522" width="9.140625" style="791"/>
    <col min="11523" max="11524" width="13.140625" style="791" customWidth="1"/>
    <col min="11525" max="11525" width="15.7109375" style="791" customWidth="1"/>
    <col min="11526" max="11526" width="13.140625" style="791" customWidth="1"/>
    <col min="11527" max="11527" width="18.42578125" style="791" customWidth="1"/>
    <col min="11528" max="11528" width="13.140625" style="791" customWidth="1"/>
    <col min="11529" max="11529" width="9.140625" style="791"/>
    <col min="11530" max="11534" width="0" style="791" hidden="1" customWidth="1"/>
    <col min="11535" max="11778" width="9.140625" style="791"/>
    <col min="11779" max="11780" width="13.140625" style="791" customWidth="1"/>
    <col min="11781" max="11781" width="15.7109375" style="791" customWidth="1"/>
    <col min="11782" max="11782" width="13.140625" style="791" customWidth="1"/>
    <col min="11783" max="11783" width="18.42578125" style="791" customWidth="1"/>
    <col min="11784" max="11784" width="13.140625" style="791" customWidth="1"/>
    <col min="11785" max="11785" width="9.140625" style="791"/>
    <col min="11786" max="11790" width="0" style="791" hidden="1" customWidth="1"/>
    <col min="11791" max="12034" width="9.140625" style="791"/>
    <col min="12035" max="12036" width="13.140625" style="791" customWidth="1"/>
    <col min="12037" max="12037" width="15.7109375" style="791" customWidth="1"/>
    <col min="12038" max="12038" width="13.140625" style="791" customWidth="1"/>
    <col min="12039" max="12039" width="18.42578125" style="791" customWidth="1"/>
    <col min="12040" max="12040" width="13.140625" style="791" customWidth="1"/>
    <col min="12041" max="12041" width="9.140625" style="791"/>
    <col min="12042" max="12046" width="0" style="791" hidden="1" customWidth="1"/>
    <col min="12047" max="12290" width="9.140625" style="791"/>
    <col min="12291" max="12292" width="13.140625" style="791" customWidth="1"/>
    <col min="12293" max="12293" width="15.7109375" style="791" customWidth="1"/>
    <col min="12294" max="12294" width="13.140625" style="791" customWidth="1"/>
    <col min="12295" max="12295" width="18.42578125" style="791" customWidth="1"/>
    <col min="12296" max="12296" width="13.140625" style="791" customWidth="1"/>
    <col min="12297" max="12297" width="9.140625" style="791"/>
    <col min="12298" max="12302" width="0" style="791" hidden="1" customWidth="1"/>
    <col min="12303" max="12546" width="9.140625" style="791"/>
    <col min="12547" max="12548" width="13.140625" style="791" customWidth="1"/>
    <col min="12549" max="12549" width="15.7109375" style="791" customWidth="1"/>
    <col min="12550" max="12550" width="13.140625" style="791" customWidth="1"/>
    <col min="12551" max="12551" width="18.42578125" style="791" customWidth="1"/>
    <col min="12552" max="12552" width="13.140625" style="791" customWidth="1"/>
    <col min="12553" max="12553" width="9.140625" style="791"/>
    <col min="12554" max="12558" width="0" style="791" hidden="1" customWidth="1"/>
    <col min="12559" max="12802" width="9.140625" style="791"/>
    <col min="12803" max="12804" width="13.140625" style="791" customWidth="1"/>
    <col min="12805" max="12805" width="15.7109375" style="791" customWidth="1"/>
    <col min="12806" max="12806" width="13.140625" style="791" customWidth="1"/>
    <col min="12807" max="12807" width="18.42578125" style="791" customWidth="1"/>
    <col min="12808" max="12808" width="13.140625" style="791" customWidth="1"/>
    <col min="12809" max="12809" width="9.140625" style="791"/>
    <col min="12810" max="12814" width="0" style="791" hidden="1" customWidth="1"/>
    <col min="12815" max="13058" width="9.140625" style="791"/>
    <col min="13059" max="13060" width="13.140625" style="791" customWidth="1"/>
    <col min="13061" max="13061" width="15.7109375" style="791" customWidth="1"/>
    <col min="13062" max="13062" width="13.140625" style="791" customWidth="1"/>
    <col min="13063" max="13063" width="18.42578125" style="791" customWidth="1"/>
    <col min="13064" max="13064" width="13.140625" style="791" customWidth="1"/>
    <col min="13065" max="13065" width="9.140625" style="791"/>
    <col min="13066" max="13070" width="0" style="791" hidden="1" customWidth="1"/>
    <col min="13071" max="13314" width="9.140625" style="791"/>
    <col min="13315" max="13316" width="13.140625" style="791" customWidth="1"/>
    <col min="13317" max="13317" width="15.7109375" style="791" customWidth="1"/>
    <col min="13318" max="13318" width="13.140625" style="791" customWidth="1"/>
    <col min="13319" max="13319" width="18.42578125" style="791" customWidth="1"/>
    <col min="13320" max="13320" width="13.140625" style="791" customWidth="1"/>
    <col min="13321" max="13321" width="9.140625" style="791"/>
    <col min="13322" max="13326" width="0" style="791" hidden="1" customWidth="1"/>
    <col min="13327" max="13570" width="9.140625" style="791"/>
    <col min="13571" max="13572" width="13.140625" style="791" customWidth="1"/>
    <col min="13573" max="13573" width="15.7109375" style="791" customWidth="1"/>
    <col min="13574" max="13574" width="13.140625" style="791" customWidth="1"/>
    <col min="13575" max="13575" width="18.42578125" style="791" customWidth="1"/>
    <col min="13576" max="13576" width="13.140625" style="791" customWidth="1"/>
    <col min="13577" max="13577" width="9.140625" style="791"/>
    <col min="13578" max="13582" width="0" style="791" hidden="1" customWidth="1"/>
    <col min="13583" max="13826" width="9.140625" style="791"/>
    <col min="13827" max="13828" width="13.140625" style="791" customWidth="1"/>
    <col min="13829" max="13829" width="15.7109375" style="791" customWidth="1"/>
    <col min="13830" max="13830" width="13.140625" style="791" customWidth="1"/>
    <col min="13831" max="13831" width="18.42578125" style="791" customWidth="1"/>
    <col min="13832" max="13832" width="13.140625" style="791" customWidth="1"/>
    <col min="13833" max="13833" width="9.140625" style="791"/>
    <col min="13834" max="13838" width="0" style="791" hidden="1" customWidth="1"/>
    <col min="13839" max="14082" width="9.140625" style="791"/>
    <col min="14083" max="14084" width="13.140625" style="791" customWidth="1"/>
    <col min="14085" max="14085" width="15.7109375" style="791" customWidth="1"/>
    <col min="14086" max="14086" width="13.140625" style="791" customWidth="1"/>
    <col min="14087" max="14087" width="18.42578125" style="791" customWidth="1"/>
    <col min="14088" max="14088" width="13.140625" style="791" customWidth="1"/>
    <col min="14089" max="14089" width="9.140625" style="791"/>
    <col min="14090" max="14094" width="0" style="791" hidden="1" customWidth="1"/>
    <col min="14095" max="14338" width="9.140625" style="791"/>
    <col min="14339" max="14340" width="13.140625" style="791" customWidth="1"/>
    <col min="14341" max="14341" width="15.7109375" style="791" customWidth="1"/>
    <col min="14342" max="14342" width="13.140625" style="791" customWidth="1"/>
    <col min="14343" max="14343" width="18.42578125" style="791" customWidth="1"/>
    <col min="14344" max="14344" width="13.140625" style="791" customWidth="1"/>
    <col min="14345" max="14345" width="9.140625" style="791"/>
    <col min="14346" max="14350" width="0" style="791" hidden="1" customWidth="1"/>
    <col min="14351" max="14594" width="9.140625" style="791"/>
    <col min="14595" max="14596" width="13.140625" style="791" customWidth="1"/>
    <col min="14597" max="14597" width="15.7109375" style="791" customWidth="1"/>
    <col min="14598" max="14598" width="13.140625" style="791" customWidth="1"/>
    <col min="14599" max="14599" width="18.42578125" style="791" customWidth="1"/>
    <col min="14600" max="14600" width="13.140625" style="791" customWidth="1"/>
    <col min="14601" max="14601" width="9.140625" style="791"/>
    <col min="14602" max="14606" width="0" style="791" hidden="1" customWidth="1"/>
    <col min="14607" max="14850" width="9.140625" style="791"/>
    <col min="14851" max="14852" width="13.140625" style="791" customWidth="1"/>
    <col min="14853" max="14853" width="15.7109375" style="791" customWidth="1"/>
    <col min="14854" max="14854" width="13.140625" style="791" customWidth="1"/>
    <col min="14855" max="14855" width="18.42578125" style="791" customWidth="1"/>
    <col min="14856" max="14856" width="13.140625" style="791" customWidth="1"/>
    <col min="14857" max="14857" width="9.140625" style="791"/>
    <col min="14858" max="14862" width="0" style="791" hidden="1" customWidth="1"/>
    <col min="14863" max="15106" width="9.140625" style="791"/>
    <col min="15107" max="15108" width="13.140625" style="791" customWidth="1"/>
    <col min="15109" max="15109" width="15.7109375" style="791" customWidth="1"/>
    <col min="15110" max="15110" width="13.140625" style="791" customWidth="1"/>
    <col min="15111" max="15111" width="18.42578125" style="791" customWidth="1"/>
    <col min="15112" max="15112" width="13.140625" style="791" customWidth="1"/>
    <col min="15113" max="15113" width="9.140625" style="791"/>
    <col min="15114" max="15118" width="0" style="791" hidden="1" customWidth="1"/>
    <col min="15119" max="15362" width="9.140625" style="791"/>
    <col min="15363" max="15364" width="13.140625" style="791" customWidth="1"/>
    <col min="15365" max="15365" width="15.7109375" style="791" customWidth="1"/>
    <col min="15366" max="15366" width="13.140625" style="791" customWidth="1"/>
    <col min="15367" max="15367" width="18.42578125" style="791" customWidth="1"/>
    <col min="15368" max="15368" width="13.140625" style="791" customWidth="1"/>
    <col min="15369" max="15369" width="9.140625" style="791"/>
    <col min="15370" max="15374" width="0" style="791" hidden="1" customWidth="1"/>
    <col min="15375" max="15618" width="9.140625" style="791"/>
    <col min="15619" max="15620" width="13.140625" style="791" customWidth="1"/>
    <col min="15621" max="15621" width="15.7109375" style="791" customWidth="1"/>
    <col min="15622" max="15622" width="13.140625" style="791" customWidth="1"/>
    <col min="15623" max="15623" width="18.42578125" style="791" customWidth="1"/>
    <col min="15624" max="15624" width="13.140625" style="791" customWidth="1"/>
    <col min="15625" max="15625" width="9.140625" style="791"/>
    <col min="15626" max="15630" width="0" style="791" hidden="1" customWidth="1"/>
    <col min="15631" max="15874" width="9.140625" style="791"/>
    <col min="15875" max="15876" width="13.140625" style="791" customWidth="1"/>
    <col min="15877" max="15877" width="15.7109375" style="791" customWidth="1"/>
    <col min="15878" max="15878" width="13.140625" style="791" customWidth="1"/>
    <col min="15879" max="15879" width="18.42578125" style="791" customWidth="1"/>
    <col min="15880" max="15880" width="13.140625" style="791" customWidth="1"/>
    <col min="15881" max="15881" width="9.140625" style="791"/>
    <col min="15882" max="15886" width="0" style="791" hidden="1" customWidth="1"/>
    <col min="15887" max="16130" width="9.140625" style="791"/>
    <col min="16131" max="16132" width="13.140625" style="791" customWidth="1"/>
    <col min="16133" max="16133" width="15.7109375" style="791" customWidth="1"/>
    <col min="16134" max="16134" width="13.140625" style="791" customWidth="1"/>
    <col min="16135" max="16135" width="18.42578125" style="791" customWidth="1"/>
    <col min="16136" max="16136" width="13.140625" style="791" customWidth="1"/>
    <col min="16137" max="16137" width="9.140625" style="791"/>
    <col min="16138" max="16142" width="0" style="791" hidden="1" customWidth="1"/>
    <col min="16143" max="16384" width="9.140625" style="791"/>
  </cols>
  <sheetData>
    <row r="1" spans="1:14" x14ac:dyDescent="0.2">
      <c r="B1" s="862"/>
      <c r="C1" s="860"/>
      <c r="D1" s="860"/>
      <c r="E1" s="861" t="s">
        <v>529</v>
      </c>
      <c r="F1" s="860"/>
      <c r="G1" s="859" t="s">
        <v>528</v>
      </c>
      <c r="H1" s="858" t="str">
        <f>'[3]Original Amort'!H1</f>
        <v>Calendar Year</v>
      </c>
      <c r="I1" s="848"/>
      <c r="J1" s="793">
        <f>MONTH(A12)</f>
        <v>4</v>
      </c>
      <c r="K1" s="793">
        <f>IF(J1&gt;6,1,0)</f>
        <v>0</v>
      </c>
      <c r="L1" s="793" t="s">
        <v>527</v>
      </c>
      <c r="N1" s="857">
        <f>DATE(YEAR([3]Reveiw!$C$7),MONTH([3]Reveiw!$C$7),DAY([3]Reveiw!$C$7))</f>
        <v>44652</v>
      </c>
    </row>
    <row r="2" spans="1:14" x14ac:dyDescent="0.2">
      <c r="A2" s="856" t="str">
        <f>'[3]Original Amort'!A2</f>
        <v>TIMBER LAKES SSD REVENUE BONDS SERIES 2004</v>
      </c>
      <c r="B2" s="819"/>
      <c r="C2" s="855"/>
      <c r="D2" s="854"/>
      <c r="E2" s="875">
        <f>'[3]Original Amort'!E2</f>
        <v>785710000</v>
      </c>
      <c r="F2" s="818"/>
      <c r="G2" s="818"/>
      <c r="H2" s="818"/>
      <c r="I2" s="798"/>
      <c r="J2" s="793"/>
      <c r="K2" s="793">
        <f>IF(H1="Bond Year",1,0)</f>
        <v>0</v>
      </c>
      <c r="L2" s="793" t="s">
        <v>526</v>
      </c>
    </row>
    <row r="3" spans="1:14" ht="12" thickBot="1" x14ac:dyDescent="0.25">
      <c r="A3" s="818"/>
      <c r="B3" s="819"/>
      <c r="C3" s="818"/>
      <c r="D3" s="874" t="s">
        <v>409</v>
      </c>
      <c r="E3" s="874" t="s">
        <v>409</v>
      </c>
      <c r="F3" s="818"/>
      <c r="G3" s="818"/>
      <c r="H3" s="818"/>
      <c r="I3" s="798"/>
      <c r="J3" s="793"/>
      <c r="K3" s="793">
        <f>SUM(K1:K2)</f>
        <v>0</v>
      </c>
      <c r="L3" s="793"/>
    </row>
    <row r="4" spans="1:14" x14ac:dyDescent="0.2">
      <c r="A4" s="852"/>
      <c r="B4" s="851"/>
      <c r="C4" s="849"/>
      <c r="D4" s="850"/>
      <c r="E4" s="849"/>
      <c r="F4" s="849"/>
      <c r="G4" s="849"/>
      <c r="H4" s="848"/>
      <c r="I4" s="798"/>
      <c r="J4" s="793"/>
      <c r="K4" s="873"/>
      <c r="L4" s="793"/>
    </row>
    <row r="5" spans="1:14" x14ac:dyDescent="0.2">
      <c r="A5" s="847" t="s">
        <v>525</v>
      </c>
      <c r="B5" s="846"/>
      <c r="C5" s="872">
        <f>IF(C6='[3]Original Amort'!C6,'[3]Original Amort'!C5,IF(DATE(YEAR([3]Reveiw!$C$7),MONTH([3]Reveiw!$C$7)-6,DAY([3]Reveiw!$C$7))&lt;'[3]Original Amort'!C5,'[3]Original Amort'!C5,DATE(YEAR([3]Reveiw!$C$7),MONTH([3]Reveiw!$C$7)-6,DAY([3]Reveiw!$C$7))))</f>
        <v>44470</v>
      </c>
      <c r="D5" s="835"/>
      <c r="E5" s="834" t="s">
        <v>524</v>
      </c>
      <c r="F5" s="871">
        <f>'[3]Optional Calls'!D91</f>
        <v>958000</v>
      </c>
      <c r="G5" s="843" t="s">
        <v>523</v>
      </c>
      <c r="H5" s="842">
        <f>IF(K3=1,(SUM(G12:G100)/F8),(SUM(F12:F100)/F8))</f>
        <v>59708.266666666663</v>
      </c>
      <c r="I5" s="798"/>
      <c r="J5" s="793"/>
      <c r="K5" s="793"/>
      <c r="L5" s="793"/>
    </row>
    <row r="6" spans="1:14" ht="10.5" customHeight="1" x14ac:dyDescent="0.2">
      <c r="A6" s="838" t="s">
        <v>522</v>
      </c>
      <c r="B6" s="837"/>
      <c r="C6" s="869">
        <f>[3]Reveiw!C7</f>
        <v>44652</v>
      </c>
      <c r="D6" s="835"/>
      <c r="E6" s="834" t="s">
        <v>521</v>
      </c>
      <c r="F6" s="870">
        <v>5000</v>
      </c>
      <c r="G6" s="840"/>
      <c r="H6" s="839"/>
      <c r="I6" s="798"/>
      <c r="J6" s="793"/>
      <c r="K6" s="793"/>
      <c r="L6" s="793"/>
    </row>
    <row r="7" spans="1:14" ht="18.75" customHeight="1" x14ac:dyDescent="0.2">
      <c r="A7" s="838" t="s">
        <v>519</v>
      </c>
      <c r="B7" s="837"/>
      <c r="C7" s="869">
        <f>'[3]Original Amort'!C7</f>
        <v>45566</v>
      </c>
      <c r="D7" s="835"/>
      <c r="E7" s="834" t="s">
        <v>518</v>
      </c>
      <c r="F7" s="833">
        <v>360</v>
      </c>
      <c r="G7" s="832" t="s">
        <v>517</v>
      </c>
      <c r="H7" s="868">
        <f>H5*125%</f>
        <v>74635.333333333328</v>
      </c>
      <c r="I7" s="798"/>
      <c r="J7" s="830" t="s">
        <v>516</v>
      </c>
      <c r="K7" s="830"/>
      <c r="L7" s="793"/>
    </row>
    <row r="8" spans="1:14" ht="12" thickBot="1" x14ac:dyDescent="0.25">
      <c r="A8" s="829" t="s">
        <v>515</v>
      </c>
      <c r="B8" s="828"/>
      <c r="C8" s="827">
        <f>IF(K3=1,VLOOKUP(N1,A:N,13,FALSE),VLOOKUP(N1,A:M,12,FALSE))</f>
        <v>60044.800000000003</v>
      </c>
      <c r="D8" s="826" t="s">
        <v>514</v>
      </c>
      <c r="E8" s="825"/>
      <c r="F8" s="824">
        <f>IF(K3=1,COUNT(G12:G100),COUNT(F12:F100))</f>
        <v>3</v>
      </c>
      <c r="G8" s="823" t="s">
        <v>513</v>
      </c>
      <c r="H8" s="822">
        <f>'[3]Original Amort'!H8</f>
        <v>71500</v>
      </c>
      <c r="I8" s="798"/>
      <c r="J8" s="821"/>
      <c r="K8" s="820"/>
      <c r="L8" s="793"/>
    </row>
    <row r="9" spans="1:14" x14ac:dyDescent="0.2">
      <c r="A9" s="818"/>
      <c r="B9" s="819"/>
      <c r="C9" s="818"/>
      <c r="D9" s="818"/>
      <c r="E9" s="818"/>
      <c r="F9" s="818"/>
      <c r="G9" s="818"/>
      <c r="H9" s="818"/>
      <c r="I9" s="798"/>
      <c r="J9" s="812" t="s">
        <v>512</v>
      </c>
      <c r="K9" s="812" t="s">
        <v>511</v>
      </c>
      <c r="L9" s="793"/>
    </row>
    <row r="10" spans="1:14" x14ac:dyDescent="0.2">
      <c r="A10" s="815"/>
      <c r="B10" s="817"/>
      <c r="C10" s="815"/>
      <c r="D10" s="867"/>
      <c r="E10" s="815"/>
      <c r="F10" s="814" t="s">
        <v>510</v>
      </c>
      <c r="G10" s="814" t="s">
        <v>510</v>
      </c>
      <c r="H10" s="813" t="s">
        <v>509</v>
      </c>
      <c r="I10" s="798"/>
      <c r="J10" s="812" t="s">
        <v>508</v>
      </c>
      <c r="K10" s="812" t="s">
        <v>507</v>
      </c>
      <c r="L10" s="793"/>
    </row>
    <row r="11" spans="1:14" x14ac:dyDescent="0.2">
      <c r="A11" s="811" t="s">
        <v>506</v>
      </c>
      <c r="B11" s="810" t="s">
        <v>505</v>
      </c>
      <c r="C11" s="807" t="s">
        <v>504</v>
      </c>
      <c r="D11" s="866" t="s">
        <v>503</v>
      </c>
      <c r="E11" s="807" t="s">
        <v>502</v>
      </c>
      <c r="F11" s="808" t="s">
        <v>502</v>
      </c>
      <c r="G11" s="808" t="s">
        <v>502</v>
      </c>
      <c r="H11" s="807" t="s">
        <v>501</v>
      </c>
      <c r="I11" s="798"/>
      <c r="J11" s="806" t="s">
        <v>500</v>
      </c>
      <c r="K11" s="806" t="s">
        <v>500</v>
      </c>
      <c r="L11" s="793"/>
    </row>
    <row r="12" spans="1:14" x14ac:dyDescent="0.2">
      <c r="A12" s="805">
        <f>C6</f>
        <v>44652</v>
      </c>
      <c r="B12" s="865">
        <f>IF(A12="","",VLOOKUP(A12,'[3]Optional Calls'!A$1:D$65536,2,FALSE))</f>
        <v>1.7600000000000001E-2</v>
      </c>
      <c r="C12" s="864">
        <f>IF(A12="","",VLOOKUP(A12,'[3]Optional Calls'!A$1:D$65536,4,FALSE))</f>
        <v>0</v>
      </c>
      <c r="D12" s="863">
        <f>IF(SUM(J12:$J$100)=0,SUM(K12:$K$100),SUM(J12:J100))</f>
        <v>1522.4</v>
      </c>
      <c r="E12" s="799">
        <f t="shared" ref="E12:E43" si="0">IF(A12="","",C12+D12)</f>
        <v>1522.4</v>
      </c>
      <c r="F12" s="799"/>
      <c r="G12" s="799">
        <f>IF(A12="","",SUM(E11:E12))</f>
        <v>1522.4</v>
      </c>
      <c r="H12" s="799">
        <f>IF($C$101-C12=0,0,$C$101-C12)</f>
        <v>173000</v>
      </c>
      <c r="I12" s="798"/>
      <c r="J12" s="797">
        <f t="shared" ref="J12:J43" si="1">IF(A12="","",C12*B12*DAYS360($C$5,$C$6)/$F$7)</f>
        <v>0</v>
      </c>
      <c r="K12" s="797">
        <f t="shared" ref="K12:K43" si="2">IF(A12="","",C12*B12/2)</f>
        <v>0</v>
      </c>
      <c r="L12" s="794">
        <f>MAX(F12:$F$100)</f>
        <v>60044.800000000003</v>
      </c>
      <c r="M12" s="794">
        <f>MAX(G12:$G$100)</f>
        <v>59543.200000000004</v>
      </c>
    </row>
    <row r="13" spans="1:14" x14ac:dyDescent="0.2">
      <c r="A13" s="803">
        <f t="shared" ref="A13:A44" si="3">IF(A12&lt;$C$7,DATE(YEAR(A12),MONTH(A12)+6,DAY(A12)),"")</f>
        <v>44835</v>
      </c>
      <c r="B13" s="865">
        <f>IF(A13="","",VLOOKUP(A13,'[3]Optional Calls'!A$1:D$65536,2,FALSE))</f>
        <v>1.7600000000000001E-2</v>
      </c>
      <c r="C13" s="864">
        <f>IF(A13="","",VLOOKUP(A13,'[3]Optional Calls'!A$1:D$65536,4,FALSE))</f>
        <v>57000</v>
      </c>
      <c r="D13" s="863">
        <f>IF(SUM(K13:$K$100)=0,"",SUM(K13:$K$100))</f>
        <v>1522.4</v>
      </c>
      <c r="E13" s="799">
        <f t="shared" si="0"/>
        <v>58522.400000000001</v>
      </c>
      <c r="F13" s="799">
        <f>IF(A13="","",SUM(E12:E13))</f>
        <v>60044.800000000003</v>
      </c>
      <c r="G13" s="799" t="s">
        <v>409</v>
      </c>
      <c r="H13" s="799">
        <f>IF($C$101="","",H12-C13)</f>
        <v>116000</v>
      </c>
      <c r="I13" s="798"/>
      <c r="J13" s="797">
        <f t="shared" si="1"/>
        <v>501.6</v>
      </c>
      <c r="K13" s="797">
        <f t="shared" si="2"/>
        <v>501.6</v>
      </c>
      <c r="L13" s="794">
        <f>MAX(F13:$F$100)</f>
        <v>60044.800000000003</v>
      </c>
      <c r="M13" s="794">
        <f>MAX(G13:$G$100)</f>
        <v>59543.200000000004</v>
      </c>
    </row>
    <row r="14" spans="1:14" x14ac:dyDescent="0.2">
      <c r="A14" s="803">
        <f t="shared" si="3"/>
        <v>45017</v>
      </c>
      <c r="B14" s="865">
        <f>IF(A14="","",VLOOKUP(A14,'[3]Optional Calls'!A$1:D$65536,2,FALSE))</f>
        <v>1.7600000000000001E-2</v>
      </c>
      <c r="C14" s="864">
        <f>IF(A14="","",VLOOKUP(A14,'[3]Optional Calls'!A$1:D$65536,4,FALSE))</f>
        <v>0</v>
      </c>
      <c r="D14" s="863">
        <f>IF(SUM(K14:$K$100)=0,"",SUM(K14:$K$100))</f>
        <v>1020.8000000000001</v>
      </c>
      <c r="E14" s="799">
        <f t="shared" si="0"/>
        <v>1020.8000000000001</v>
      </c>
      <c r="F14" s="799"/>
      <c r="G14" s="799">
        <f>IF(A14="","",SUM(E13:E14))</f>
        <v>59543.200000000004</v>
      </c>
      <c r="H14" s="799">
        <f t="shared" ref="H14:H45" si="4">IF(A14="","",H13-C14)</f>
        <v>116000</v>
      </c>
      <c r="I14" s="798"/>
      <c r="J14" s="797">
        <f t="shared" si="1"/>
        <v>0</v>
      </c>
      <c r="K14" s="797">
        <f t="shared" si="2"/>
        <v>0</v>
      </c>
      <c r="L14" s="794">
        <f>MAX(F14:$F$100)</f>
        <v>60038.399999999994</v>
      </c>
      <c r="M14" s="794">
        <f>MAX(G14:$G$100)</f>
        <v>59543.200000000004</v>
      </c>
    </row>
    <row r="15" spans="1:14" x14ac:dyDescent="0.2">
      <c r="A15" s="803">
        <f t="shared" si="3"/>
        <v>45200</v>
      </c>
      <c r="B15" s="865">
        <f>IF(A15="","",VLOOKUP(A15,'[3]Optional Calls'!A$1:D$65536,2,FALSE))</f>
        <v>1.7600000000000001E-2</v>
      </c>
      <c r="C15" s="864">
        <f>IF(A15="","",VLOOKUP(A15,'[3]Optional Calls'!A$1:D$65536,4,FALSE))</f>
        <v>57000</v>
      </c>
      <c r="D15" s="863">
        <f>IF(SUM(K15:$K$100)=0,"",SUM(K15:$K$100))</f>
        <v>1020.8000000000001</v>
      </c>
      <c r="E15" s="799">
        <f t="shared" si="0"/>
        <v>58020.800000000003</v>
      </c>
      <c r="F15" s="799">
        <f>IF(A15="","",SUM(E14:E15))</f>
        <v>59041.600000000006</v>
      </c>
      <c r="G15" s="799" t="s">
        <v>409</v>
      </c>
      <c r="H15" s="799">
        <f t="shared" si="4"/>
        <v>59000</v>
      </c>
      <c r="I15" s="798"/>
      <c r="J15" s="797">
        <f t="shared" si="1"/>
        <v>501.6</v>
      </c>
      <c r="K15" s="797">
        <f t="shared" si="2"/>
        <v>501.6</v>
      </c>
      <c r="L15" s="794">
        <f>MAX(F15:$F$100)</f>
        <v>60038.399999999994</v>
      </c>
      <c r="M15" s="794">
        <f>MAX(G15:$G$100)</f>
        <v>58540</v>
      </c>
    </row>
    <row r="16" spans="1:14" x14ac:dyDescent="0.2">
      <c r="A16" s="803">
        <f t="shared" si="3"/>
        <v>45383</v>
      </c>
      <c r="B16" s="865">
        <f>IF(A16="","",VLOOKUP(A16,'[3]Optional Calls'!A$1:D$65536,2,FALSE))</f>
        <v>1.7600000000000001E-2</v>
      </c>
      <c r="C16" s="864">
        <f>IF(A16="","",VLOOKUP(A16,'[3]Optional Calls'!A$1:D$65536,4,FALSE))</f>
        <v>0</v>
      </c>
      <c r="D16" s="863">
        <f>IF(SUM(K16:$K$100)=0,"",SUM(K16:$K$100))</f>
        <v>519.20000000000005</v>
      </c>
      <c r="E16" s="799">
        <f t="shared" si="0"/>
        <v>519.20000000000005</v>
      </c>
      <c r="F16" s="799"/>
      <c r="G16" s="799">
        <f>IF(A16="","",SUM(E15:E16))</f>
        <v>58540</v>
      </c>
      <c r="H16" s="799">
        <f t="shared" si="4"/>
        <v>59000</v>
      </c>
      <c r="I16" s="798"/>
      <c r="J16" s="797">
        <f t="shared" si="1"/>
        <v>0</v>
      </c>
      <c r="K16" s="797">
        <f t="shared" si="2"/>
        <v>0</v>
      </c>
      <c r="L16" s="794">
        <f>MAX(F16:$F$100)</f>
        <v>60038.399999999994</v>
      </c>
      <c r="M16" s="794">
        <f>MAX(G16:$G$100)</f>
        <v>58540</v>
      </c>
    </row>
    <row r="17" spans="1:13" x14ac:dyDescent="0.2">
      <c r="A17" s="803">
        <f t="shared" si="3"/>
        <v>45566</v>
      </c>
      <c r="B17" s="865">
        <f>IF(A17="","",VLOOKUP(A17,'[3]Optional Calls'!A$1:D$65536,2,FALSE))</f>
        <v>1.7600000000000001E-2</v>
      </c>
      <c r="C17" s="864">
        <f>IF(A17="","",VLOOKUP(A17,'[3]Optional Calls'!A$1:D$65536,4,FALSE))</f>
        <v>59000</v>
      </c>
      <c r="D17" s="863">
        <f>IF(SUM(K17:$K$100)=0,"",SUM(K17:$K$100))</f>
        <v>519.20000000000005</v>
      </c>
      <c r="E17" s="799">
        <f t="shared" si="0"/>
        <v>59519.199999999997</v>
      </c>
      <c r="F17" s="799">
        <f>IF(A17="","",SUM(E16:E17))</f>
        <v>60038.399999999994</v>
      </c>
      <c r="G17" s="799" t="s">
        <v>409</v>
      </c>
      <c r="H17" s="799">
        <f t="shared" si="4"/>
        <v>0</v>
      </c>
      <c r="I17" s="798"/>
      <c r="J17" s="797">
        <f t="shared" si="1"/>
        <v>519.20000000000005</v>
      </c>
      <c r="K17" s="797">
        <f t="shared" si="2"/>
        <v>519.20000000000005</v>
      </c>
      <c r="L17" s="794">
        <f>MAX(F17:$F$100)</f>
        <v>60038.399999999994</v>
      </c>
      <c r="M17" s="794">
        <f>MAX(G17:$G$100)</f>
        <v>0</v>
      </c>
    </row>
    <row r="18" spans="1:13" x14ac:dyDescent="0.2">
      <c r="A18" s="803" t="str">
        <f t="shared" si="3"/>
        <v/>
      </c>
      <c r="B18" s="865" t="str">
        <f>IF(A18="","",VLOOKUP(A18,'[3]Optional Calls'!A$1:D$65536,2,FALSE))</f>
        <v/>
      </c>
      <c r="C18" s="864" t="str">
        <f>IF(A18="","",VLOOKUP(A18,'[3]Optional Calls'!A$1:D$65536,4,FALSE))</f>
        <v/>
      </c>
      <c r="D18" s="863" t="str">
        <f>IF(SUM(K18:$K$100)=0,"",SUM(K18:$K$100))</f>
        <v/>
      </c>
      <c r="E18" s="799" t="str">
        <f t="shared" si="0"/>
        <v/>
      </c>
      <c r="F18" s="799"/>
      <c r="G18" s="799" t="str">
        <f>IF(A18="","",SUM(E17:E18))</f>
        <v/>
      </c>
      <c r="H18" s="799" t="str">
        <f t="shared" si="4"/>
        <v/>
      </c>
      <c r="I18" s="798"/>
      <c r="J18" s="797" t="str">
        <f t="shared" si="1"/>
        <v/>
      </c>
      <c r="K18" s="797" t="str">
        <f t="shared" si="2"/>
        <v/>
      </c>
      <c r="L18" s="794">
        <f>MAX(F18:$F$100)</f>
        <v>0</v>
      </c>
      <c r="M18" s="794">
        <f>MAX(G18:$G$100)</f>
        <v>0</v>
      </c>
    </row>
    <row r="19" spans="1:13" x14ac:dyDescent="0.2">
      <c r="A19" s="803" t="str">
        <f t="shared" si="3"/>
        <v/>
      </c>
      <c r="B19" s="865" t="str">
        <f>IF(A19="","",VLOOKUP(A19,'[3]Optional Calls'!A$1:D$65536,2,FALSE))</f>
        <v/>
      </c>
      <c r="C19" s="864" t="str">
        <f>IF(A19="","",VLOOKUP(A19,'[3]Optional Calls'!A$1:D$65536,4,FALSE))</f>
        <v/>
      </c>
      <c r="D19" s="863" t="str">
        <f>IF(SUM(K19:$K$100)=0,"",SUM(K19:$K$100))</f>
        <v/>
      </c>
      <c r="E19" s="799" t="str">
        <f t="shared" si="0"/>
        <v/>
      </c>
      <c r="F19" s="799" t="str">
        <f>IF(A19="","",SUM(E18:E19))</f>
        <v/>
      </c>
      <c r="G19" s="799" t="s">
        <v>409</v>
      </c>
      <c r="H19" s="799" t="str">
        <f t="shared" si="4"/>
        <v/>
      </c>
      <c r="I19" s="798"/>
      <c r="J19" s="797" t="str">
        <f t="shared" si="1"/>
        <v/>
      </c>
      <c r="K19" s="797" t="str">
        <f t="shared" si="2"/>
        <v/>
      </c>
      <c r="L19" s="794">
        <f>MAX(F19:$F$100)</f>
        <v>0</v>
      </c>
      <c r="M19" s="794">
        <f>MAX(G19:$G$100)</f>
        <v>0</v>
      </c>
    </row>
    <row r="20" spans="1:13" x14ac:dyDescent="0.2">
      <c r="A20" s="803" t="str">
        <f t="shared" si="3"/>
        <v/>
      </c>
      <c r="B20" s="865" t="str">
        <f>IF(A20="","",VLOOKUP(A20,'[3]Optional Calls'!A$1:D$65536,2,FALSE))</f>
        <v/>
      </c>
      <c r="C20" s="864" t="str">
        <f>IF(A20="","",VLOOKUP(A20,'[3]Optional Calls'!A$1:D$65536,4,FALSE))</f>
        <v/>
      </c>
      <c r="D20" s="863" t="str">
        <f>IF(SUM(K20:$K$100)=0,"",SUM(K20:$K$100))</f>
        <v/>
      </c>
      <c r="E20" s="799" t="str">
        <f t="shared" si="0"/>
        <v/>
      </c>
      <c r="F20" s="799"/>
      <c r="G20" s="799" t="str">
        <f>IF(A20="","",SUM(E19:E20))</f>
        <v/>
      </c>
      <c r="H20" s="799" t="str">
        <f t="shared" si="4"/>
        <v/>
      </c>
      <c r="I20" s="798"/>
      <c r="J20" s="797" t="str">
        <f t="shared" si="1"/>
        <v/>
      </c>
      <c r="K20" s="797" t="str">
        <f t="shared" si="2"/>
        <v/>
      </c>
      <c r="L20" s="794">
        <f>MAX(F20:$F$100)</f>
        <v>0</v>
      </c>
      <c r="M20" s="794">
        <f>MAX(G20:$G$100)</f>
        <v>0</v>
      </c>
    </row>
    <row r="21" spans="1:13" x14ac:dyDescent="0.2">
      <c r="A21" s="803" t="str">
        <f t="shared" si="3"/>
        <v/>
      </c>
      <c r="B21" s="865" t="str">
        <f>IF(A21="","",VLOOKUP(A21,'[3]Optional Calls'!A$1:D$65536,2,FALSE))</f>
        <v/>
      </c>
      <c r="C21" s="864" t="str">
        <f>IF(A21="","",VLOOKUP(A21,'[3]Optional Calls'!A$1:D$65536,4,FALSE))</f>
        <v/>
      </c>
      <c r="D21" s="863" t="str">
        <f>IF(SUM(K21:$K$100)=0,"",SUM(K21:$K$100))</f>
        <v/>
      </c>
      <c r="E21" s="799" t="str">
        <f t="shared" si="0"/>
        <v/>
      </c>
      <c r="F21" s="799" t="str">
        <f>IF(A21="","",SUM(E20:E21))</f>
        <v/>
      </c>
      <c r="G21" s="799" t="s">
        <v>409</v>
      </c>
      <c r="H21" s="799" t="str">
        <f t="shared" si="4"/>
        <v/>
      </c>
      <c r="I21" s="798"/>
      <c r="J21" s="797" t="str">
        <f t="shared" si="1"/>
        <v/>
      </c>
      <c r="K21" s="797" t="str">
        <f t="shared" si="2"/>
        <v/>
      </c>
      <c r="L21" s="794">
        <f>MAX(F21:$F$100)</f>
        <v>0</v>
      </c>
      <c r="M21" s="794">
        <f>MAX(G21:$G$100)</f>
        <v>0</v>
      </c>
    </row>
    <row r="22" spans="1:13" x14ac:dyDescent="0.2">
      <c r="A22" s="803" t="str">
        <f t="shared" si="3"/>
        <v/>
      </c>
      <c r="B22" s="865" t="str">
        <f>IF(A22="","",VLOOKUP(A22,'[3]Optional Calls'!A$1:D$65536,2,FALSE))</f>
        <v/>
      </c>
      <c r="C22" s="864" t="str">
        <f>IF(A22="","",VLOOKUP(A22,'[3]Optional Calls'!A$1:D$65536,4,FALSE))</f>
        <v/>
      </c>
      <c r="D22" s="863" t="str">
        <f>IF(SUM(K22:$K$100)=0,"",SUM(K22:$K$100))</f>
        <v/>
      </c>
      <c r="E22" s="799" t="str">
        <f t="shared" si="0"/>
        <v/>
      </c>
      <c r="F22" s="799"/>
      <c r="G22" s="799" t="str">
        <f>IF(A22="","",SUM(E21:E22))</f>
        <v/>
      </c>
      <c r="H22" s="799" t="str">
        <f t="shared" si="4"/>
        <v/>
      </c>
      <c r="I22" s="798"/>
      <c r="J22" s="797" t="str">
        <f t="shared" si="1"/>
        <v/>
      </c>
      <c r="K22" s="797" t="str">
        <f t="shared" si="2"/>
        <v/>
      </c>
      <c r="L22" s="794">
        <f>MAX(F22:$F$100)</f>
        <v>0</v>
      </c>
      <c r="M22" s="794">
        <f>MAX(G22:$G$100)</f>
        <v>0</v>
      </c>
    </row>
    <row r="23" spans="1:13" x14ac:dyDescent="0.2">
      <c r="A23" s="803" t="str">
        <f t="shared" si="3"/>
        <v/>
      </c>
      <c r="B23" s="865" t="str">
        <f>IF(A23="","",VLOOKUP(A23,'[3]Optional Calls'!A$1:D$65536,2,FALSE))</f>
        <v/>
      </c>
      <c r="C23" s="864" t="str">
        <f>IF(A23="","",VLOOKUP(A23,'[3]Optional Calls'!A$1:D$65536,4,FALSE))</f>
        <v/>
      </c>
      <c r="D23" s="863" t="str">
        <f>IF(SUM(K23:$K$100)=0,"",SUM(K23:$K$100))</f>
        <v/>
      </c>
      <c r="E23" s="799" t="str">
        <f t="shared" si="0"/>
        <v/>
      </c>
      <c r="F23" s="799" t="str">
        <f>IF(A23="","",SUM(E22:E23))</f>
        <v/>
      </c>
      <c r="G23" s="799" t="s">
        <v>409</v>
      </c>
      <c r="H23" s="799" t="str">
        <f t="shared" si="4"/>
        <v/>
      </c>
      <c r="I23" s="798"/>
      <c r="J23" s="797" t="str">
        <f t="shared" si="1"/>
        <v/>
      </c>
      <c r="K23" s="797" t="str">
        <f t="shared" si="2"/>
        <v/>
      </c>
      <c r="L23" s="794">
        <f>MAX(F23:$F$100)</f>
        <v>0</v>
      </c>
      <c r="M23" s="794">
        <f>MAX(G23:$G$100)</f>
        <v>0</v>
      </c>
    </row>
    <row r="24" spans="1:13" x14ac:dyDescent="0.2">
      <c r="A24" s="803" t="str">
        <f t="shared" si="3"/>
        <v/>
      </c>
      <c r="B24" s="865" t="str">
        <f>IF(A24="","",VLOOKUP(A24,'[3]Optional Calls'!A$1:D$65536,2,FALSE))</f>
        <v/>
      </c>
      <c r="C24" s="864" t="str">
        <f>IF(A24="","",VLOOKUP(A24,'[3]Optional Calls'!A$1:D$65536,4,FALSE))</f>
        <v/>
      </c>
      <c r="D24" s="863" t="str">
        <f>IF(SUM(K24:$K$100)=0,"",SUM(K24:$K$100))</f>
        <v/>
      </c>
      <c r="E24" s="799" t="str">
        <f t="shared" si="0"/>
        <v/>
      </c>
      <c r="F24" s="799"/>
      <c r="G24" s="799" t="str">
        <f>IF(A24="","",SUM(E23:E24))</f>
        <v/>
      </c>
      <c r="H24" s="799" t="str">
        <f t="shared" si="4"/>
        <v/>
      </c>
      <c r="I24" s="798"/>
      <c r="J24" s="797" t="str">
        <f t="shared" si="1"/>
        <v/>
      </c>
      <c r="K24" s="797" t="str">
        <f t="shared" si="2"/>
        <v/>
      </c>
      <c r="L24" s="794">
        <f>MAX(F24:$F$100)</f>
        <v>0</v>
      </c>
      <c r="M24" s="794">
        <f>MAX(G24:$G$100)</f>
        <v>0</v>
      </c>
    </row>
    <row r="25" spans="1:13" x14ac:dyDescent="0.2">
      <c r="A25" s="803" t="str">
        <f t="shared" si="3"/>
        <v/>
      </c>
      <c r="B25" s="865" t="str">
        <f>IF(A25="","",VLOOKUP(A25,'[3]Optional Calls'!A$1:D$65536,2,FALSE))</f>
        <v/>
      </c>
      <c r="C25" s="864" t="str">
        <f>IF(A25="","",VLOOKUP(A25,'[3]Optional Calls'!A$1:D$65536,4,FALSE))</f>
        <v/>
      </c>
      <c r="D25" s="863" t="str">
        <f>IF(SUM(K25:$K$100)=0,"",SUM(K25:$K$100))</f>
        <v/>
      </c>
      <c r="E25" s="799" t="str">
        <f t="shared" si="0"/>
        <v/>
      </c>
      <c r="F25" s="799" t="str">
        <f>IF(A25="","",SUM(E24:E25))</f>
        <v/>
      </c>
      <c r="G25" s="799" t="s">
        <v>409</v>
      </c>
      <c r="H25" s="799" t="str">
        <f t="shared" si="4"/>
        <v/>
      </c>
      <c r="I25" s="798"/>
      <c r="J25" s="797" t="str">
        <f t="shared" si="1"/>
        <v/>
      </c>
      <c r="K25" s="797" t="str">
        <f t="shared" si="2"/>
        <v/>
      </c>
      <c r="L25" s="794">
        <f>MAX(F25:$F$100)</f>
        <v>0</v>
      </c>
      <c r="M25" s="794">
        <f>MAX(G25:$G$100)</f>
        <v>0</v>
      </c>
    </row>
    <row r="26" spans="1:13" x14ac:dyDescent="0.2">
      <c r="A26" s="803" t="str">
        <f t="shared" si="3"/>
        <v/>
      </c>
      <c r="B26" s="865" t="str">
        <f>IF(A26="","",VLOOKUP(A26,'[3]Optional Calls'!A$1:D$65536,2,FALSE))</f>
        <v/>
      </c>
      <c r="C26" s="864" t="str">
        <f>IF(A26="","",VLOOKUP(A26,'[3]Optional Calls'!A$1:D$65536,4,FALSE))</f>
        <v/>
      </c>
      <c r="D26" s="863" t="str">
        <f>IF(SUM(K26:$K$100)=0,"",SUM(K26:$K$100))</f>
        <v/>
      </c>
      <c r="E26" s="799" t="str">
        <f t="shared" si="0"/>
        <v/>
      </c>
      <c r="F26" s="799"/>
      <c r="G26" s="799" t="str">
        <f>IF(A26="","",SUM(E25:E26))</f>
        <v/>
      </c>
      <c r="H26" s="799" t="str">
        <f t="shared" si="4"/>
        <v/>
      </c>
      <c r="I26" s="798"/>
      <c r="J26" s="797" t="str">
        <f t="shared" si="1"/>
        <v/>
      </c>
      <c r="K26" s="797" t="str">
        <f t="shared" si="2"/>
        <v/>
      </c>
      <c r="L26" s="794">
        <f>MAX(F26:$F$100)</f>
        <v>0</v>
      </c>
      <c r="M26" s="794">
        <f>MAX(G26:$G$100)</f>
        <v>0</v>
      </c>
    </row>
    <row r="27" spans="1:13" x14ac:dyDescent="0.2">
      <c r="A27" s="803" t="str">
        <f t="shared" si="3"/>
        <v/>
      </c>
      <c r="B27" s="865" t="str">
        <f>IF(A27="","",VLOOKUP(A27,'[3]Optional Calls'!A$1:D$65536,2,FALSE))</f>
        <v/>
      </c>
      <c r="C27" s="864" t="str">
        <f>IF(A27="","",VLOOKUP(A27,'[3]Optional Calls'!A$1:D$65536,4,FALSE))</f>
        <v/>
      </c>
      <c r="D27" s="863" t="str">
        <f>IF(SUM(K27:$K$100)=0,"",SUM(K27:$K$100))</f>
        <v/>
      </c>
      <c r="E27" s="799" t="str">
        <f t="shared" si="0"/>
        <v/>
      </c>
      <c r="F27" s="799" t="str">
        <f>IF(A27="","",SUM(E26:E27))</f>
        <v/>
      </c>
      <c r="G27" s="799" t="s">
        <v>409</v>
      </c>
      <c r="H27" s="799" t="str">
        <f t="shared" si="4"/>
        <v/>
      </c>
      <c r="I27" s="798"/>
      <c r="J27" s="797" t="str">
        <f t="shared" si="1"/>
        <v/>
      </c>
      <c r="K27" s="797" t="str">
        <f t="shared" si="2"/>
        <v/>
      </c>
      <c r="L27" s="794">
        <f>MAX(F27:$F$100)</f>
        <v>0</v>
      </c>
      <c r="M27" s="794">
        <f>MAX(G27:$G$100)</f>
        <v>0</v>
      </c>
    </row>
    <row r="28" spans="1:13" x14ac:dyDescent="0.2">
      <c r="A28" s="803" t="str">
        <f t="shared" si="3"/>
        <v/>
      </c>
      <c r="B28" s="865" t="str">
        <f>IF(A28="","",VLOOKUP(A28,'[3]Optional Calls'!A$1:D$65536,2,FALSE))</f>
        <v/>
      </c>
      <c r="C28" s="864" t="str">
        <f>IF(A28="","",VLOOKUP(A28,'[3]Optional Calls'!A$1:D$65536,4,FALSE))</f>
        <v/>
      </c>
      <c r="D28" s="863" t="str">
        <f>IF(SUM(K28:$K$100)=0,"",SUM(K28:$K$100))</f>
        <v/>
      </c>
      <c r="E28" s="799" t="str">
        <f t="shared" si="0"/>
        <v/>
      </c>
      <c r="F28" s="799"/>
      <c r="G28" s="799" t="str">
        <f>IF(A28="","",SUM(E27:E28))</f>
        <v/>
      </c>
      <c r="H28" s="799" t="str">
        <f t="shared" si="4"/>
        <v/>
      </c>
      <c r="I28" s="798"/>
      <c r="J28" s="797" t="str">
        <f t="shared" si="1"/>
        <v/>
      </c>
      <c r="K28" s="797" t="str">
        <f t="shared" si="2"/>
        <v/>
      </c>
      <c r="L28" s="794">
        <f>MAX(F28:$F$100)</f>
        <v>0</v>
      </c>
      <c r="M28" s="794">
        <f>MAX(G28:$G$100)</f>
        <v>0</v>
      </c>
    </row>
    <row r="29" spans="1:13" x14ac:dyDescent="0.2">
      <c r="A29" s="803" t="str">
        <f t="shared" si="3"/>
        <v/>
      </c>
      <c r="B29" s="865" t="str">
        <f>IF(A29="","",VLOOKUP(A29,'[3]Optional Calls'!A$1:D$65536,2,FALSE))</f>
        <v/>
      </c>
      <c r="C29" s="864" t="str">
        <f>IF(A29="","",VLOOKUP(A29,'[3]Optional Calls'!A$1:D$65536,4,FALSE))</f>
        <v/>
      </c>
      <c r="D29" s="863" t="str">
        <f>IF(SUM(K29:$K$100)=0,"",SUM(K29:$K$100))</f>
        <v/>
      </c>
      <c r="E29" s="799" t="str">
        <f t="shared" si="0"/>
        <v/>
      </c>
      <c r="F29" s="799" t="str">
        <f>IF(A29="","",SUM(E28:E29))</f>
        <v/>
      </c>
      <c r="G29" s="799" t="s">
        <v>409</v>
      </c>
      <c r="H29" s="799" t="str">
        <f t="shared" si="4"/>
        <v/>
      </c>
      <c r="I29" s="798"/>
      <c r="J29" s="797" t="str">
        <f t="shared" si="1"/>
        <v/>
      </c>
      <c r="K29" s="797" t="str">
        <f t="shared" si="2"/>
        <v/>
      </c>
      <c r="L29" s="794">
        <f>MAX(F29:$F$100)</f>
        <v>0</v>
      </c>
      <c r="M29" s="794">
        <f>MAX(G29:$G$100)</f>
        <v>0</v>
      </c>
    </row>
    <row r="30" spans="1:13" x14ac:dyDescent="0.2">
      <c r="A30" s="803" t="str">
        <f t="shared" si="3"/>
        <v/>
      </c>
      <c r="B30" s="865" t="str">
        <f>IF(A30="","",VLOOKUP(A30,'[3]Optional Calls'!A$1:D$65536,2,FALSE))</f>
        <v/>
      </c>
      <c r="C30" s="864" t="str">
        <f>IF(A30="","",VLOOKUP(A30,'[3]Optional Calls'!A$1:D$65536,4,FALSE))</f>
        <v/>
      </c>
      <c r="D30" s="863" t="str">
        <f>IF(SUM(K30:$K$100)=0,"",SUM(K30:$K$100))</f>
        <v/>
      </c>
      <c r="E30" s="799" t="str">
        <f t="shared" si="0"/>
        <v/>
      </c>
      <c r="F30" s="799"/>
      <c r="G30" s="799" t="str">
        <f>IF(A30="","",SUM(E29:E30))</f>
        <v/>
      </c>
      <c r="H30" s="799" t="str">
        <f t="shared" si="4"/>
        <v/>
      </c>
      <c r="I30" s="798"/>
      <c r="J30" s="797" t="str">
        <f t="shared" si="1"/>
        <v/>
      </c>
      <c r="K30" s="797" t="str">
        <f t="shared" si="2"/>
        <v/>
      </c>
      <c r="L30" s="794">
        <f>MAX(F30:$F$100)</f>
        <v>0</v>
      </c>
      <c r="M30" s="794">
        <f>MAX(G30:$G$100)</f>
        <v>0</v>
      </c>
    </row>
    <row r="31" spans="1:13" x14ac:dyDescent="0.2">
      <c r="A31" s="803" t="str">
        <f t="shared" si="3"/>
        <v/>
      </c>
      <c r="B31" s="865" t="str">
        <f>IF(A31="","",VLOOKUP(A31,'[3]Optional Calls'!A$1:D$65536,2,FALSE))</f>
        <v/>
      </c>
      <c r="C31" s="864" t="str">
        <f>IF(A31="","",VLOOKUP(A31,'[3]Optional Calls'!A$1:D$65536,4,FALSE))</f>
        <v/>
      </c>
      <c r="D31" s="863" t="str">
        <f>IF(SUM(K31:$K$100)=0,"",SUM(K31:$K$100))</f>
        <v/>
      </c>
      <c r="E31" s="799" t="str">
        <f t="shared" si="0"/>
        <v/>
      </c>
      <c r="F31" s="799" t="str">
        <f>IF(A31="","",SUM(E30:E31))</f>
        <v/>
      </c>
      <c r="G31" s="799" t="s">
        <v>409</v>
      </c>
      <c r="H31" s="799" t="str">
        <f t="shared" si="4"/>
        <v/>
      </c>
      <c r="I31" s="798"/>
      <c r="J31" s="797" t="str">
        <f t="shared" si="1"/>
        <v/>
      </c>
      <c r="K31" s="797" t="str">
        <f t="shared" si="2"/>
        <v/>
      </c>
      <c r="L31" s="794">
        <f>MAX(F31:$F$100)</f>
        <v>0</v>
      </c>
      <c r="M31" s="794">
        <f>MAX(G31:$G$100)</f>
        <v>0</v>
      </c>
    </row>
    <row r="32" spans="1:13" x14ac:dyDescent="0.2">
      <c r="A32" s="803" t="str">
        <f t="shared" si="3"/>
        <v/>
      </c>
      <c r="B32" s="865" t="str">
        <f>IF(A32="","",VLOOKUP(A32,'[3]Optional Calls'!A$1:D$65536,2,FALSE))</f>
        <v/>
      </c>
      <c r="C32" s="864" t="str">
        <f>IF(A32="","",VLOOKUP(A32,'[3]Optional Calls'!A$1:D$65536,4,FALSE))</f>
        <v/>
      </c>
      <c r="D32" s="863" t="str">
        <f>IF(SUM(K32:$K$100)=0,"",SUM(K32:$K$100))</f>
        <v/>
      </c>
      <c r="E32" s="799" t="str">
        <f t="shared" si="0"/>
        <v/>
      </c>
      <c r="F32" s="799"/>
      <c r="G32" s="799" t="str">
        <f>IF(A32="","",SUM(E31:E32))</f>
        <v/>
      </c>
      <c r="H32" s="799" t="str">
        <f t="shared" si="4"/>
        <v/>
      </c>
      <c r="I32" s="798"/>
      <c r="J32" s="797" t="str">
        <f t="shared" si="1"/>
        <v/>
      </c>
      <c r="K32" s="797" t="str">
        <f t="shared" si="2"/>
        <v/>
      </c>
      <c r="L32" s="794">
        <f>MAX(F32:$F$100)</f>
        <v>0</v>
      </c>
      <c r="M32" s="794">
        <f>MAX(G32:$G$100)</f>
        <v>0</v>
      </c>
    </row>
    <row r="33" spans="1:13" x14ac:dyDescent="0.2">
      <c r="A33" s="803" t="str">
        <f t="shared" si="3"/>
        <v/>
      </c>
      <c r="B33" s="865" t="str">
        <f>IF(A33="","",VLOOKUP(A33,'[3]Optional Calls'!A$1:D$65536,2,FALSE))</f>
        <v/>
      </c>
      <c r="C33" s="864" t="str">
        <f>IF(A33="","",VLOOKUP(A33,'[3]Optional Calls'!A$1:D$65536,4,FALSE))</f>
        <v/>
      </c>
      <c r="D33" s="863" t="str">
        <f>IF(SUM(K33:$K$100)=0,"",SUM(K33:$K$100))</f>
        <v/>
      </c>
      <c r="E33" s="799" t="str">
        <f t="shared" si="0"/>
        <v/>
      </c>
      <c r="F33" s="799" t="str">
        <f>IF(A33="","",SUM(E32:E33))</f>
        <v/>
      </c>
      <c r="G33" s="799" t="s">
        <v>409</v>
      </c>
      <c r="H33" s="799" t="str">
        <f t="shared" si="4"/>
        <v/>
      </c>
      <c r="I33" s="798"/>
      <c r="J33" s="797" t="str">
        <f t="shared" si="1"/>
        <v/>
      </c>
      <c r="K33" s="797" t="str">
        <f t="shared" si="2"/>
        <v/>
      </c>
      <c r="L33" s="794">
        <f>MAX(F33:$F$100)</f>
        <v>0</v>
      </c>
      <c r="M33" s="794">
        <f>MAX(G33:$G$100)</f>
        <v>0</v>
      </c>
    </row>
    <row r="34" spans="1:13" x14ac:dyDescent="0.2">
      <c r="A34" s="803" t="str">
        <f t="shared" si="3"/>
        <v/>
      </c>
      <c r="B34" s="865" t="str">
        <f>IF(A34="","",VLOOKUP(A34,'[3]Optional Calls'!A$1:D$65536,2,FALSE))</f>
        <v/>
      </c>
      <c r="C34" s="864" t="str">
        <f>IF(A34="","",VLOOKUP(A34,'[3]Optional Calls'!A$1:D$65536,4,FALSE))</f>
        <v/>
      </c>
      <c r="D34" s="863" t="str">
        <f>IF(SUM(K34:$K$100)=0,"",SUM(K34:$K$100))</f>
        <v/>
      </c>
      <c r="E34" s="799" t="str">
        <f t="shared" si="0"/>
        <v/>
      </c>
      <c r="F34" s="799"/>
      <c r="G34" s="799" t="str">
        <f>IF(A34="","",SUM(E33:E34))</f>
        <v/>
      </c>
      <c r="H34" s="799" t="str">
        <f t="shared" si="4"/>
        <v/>
      </c>
      <c r="I34" s="798"/>
      <c r="J34" s="797" t="str">
        <f t="shared" si="1"/>
        <v/>
      </c>
      <c r="K34" s="797" t="str">
        <f t="shared" si="2"/>
        <v/>
      </c>
      <c r="L34" s="794">
        <f>MAX(F34:$F$100)</f>
        <v>0</v>
      </c>
      <c r="M34" s="794">
        <f>MAX(G34:$G$100)</f>
        <v>0</v>
      </c>
    </row>
    <row r="35" spans="1:13" x14ac:dyDescent="0.2">
      <c r="A35" s="803" t="str">
        <f t="shared" si="3"/>
        <v/>
      </c>
      <c r="B35" s="865" t="str">
        <f>IF(A35="","",VLOOKUP(A35,'[3]Optional Calls'!A$1:D$65536,2,FALSE))</f>
        <v/>
      </c>
      <c r="C35" s="864" t="str">
        <f>IF(A35="","",VLOOKUP(A35,'[3]Optional Calls'!A$1:D$65536,4,FALSE))</f>
        <v/>
      </c>
      <c r="D35" s="863" t="str">
        <f>IF(SUM(K35:$K$100)=0,"",SUM(K35:$K$100))</f>
        <v/>
      </c>
      <c r="E35" s="799" t="str">
        <f t="shared" si="0"/>
        <v/>
      </c>
      <c r="F35" s="799" t="str">
        <f>IF(A35="","",SUM(E34:E35))</f>
        <v/>
      </c>
      <c r="G35" s="799" t="s">
        <v>409</v>
      </c>
      <c r="H35" s="799" t="str">
        <f t="shared" si="4"/>
        <v/>
      </c>
      <c r="I35" s="798"/>
      <c r="J35" s="797" t="str">
        <f t="shared" si="1"/>
        <v/>
      </c>
      <c r="K35" s="797" t="str">
        <f t="shared" si="2"/>
        <v/>
      </c>
      <c r="L35" s="794">
        <f>MAX(F35:$F$100)</f>
        <v>0</v>
      </c>
      <c r="M35" s="794">
        <f>MAX(G35:$G$100)</f>
        <v>0</v>
      </c>
    </row>
    <row r="36" spans="1:13" x14ac:dyDescent="0.2">
      <c r="A36" s="803" t="str">
        <f t="shared" si="3"/>
        <v/>
      </c>
      <c r="B36" s="865" t="str">
        <f>IF(A36="","",VLOOKUP(A36,'[3]Optional Calls'!A$1:D$65536,2,FALSE))</f>
        <v/>
      </c>
      <c r="C36" s="864" t="str">
        <f>IF(A36="","",VLOOKUP(A36,'[3]Optional Calls'!A$1:D$65536,4,FALSE))</f>
        <v/>
      </c>
      <c r="D36" s="863" t="str">
        <f>IF(SUM(K36:$K$100)=0,"",SUM(K36:$K$100))</f>
        <v/>
      </c>
      <c r="E36" s="799" t="str">
        <f t="shared" si="0"/>
        <v/>
      </c>
      <c r="F36" s="799"/>
      <c r="G36" s="799" t="str">
        <f>IF(A36="","",SUM(E35:E36))</f>
        <v/>
      </c>
      <c r="H36" s="799" t="str">
        <f t="shared" si="4"/>
        <v/>
      </c>
      <c r="I36" s="798"/>
      <c r="J36" s="797" t="str">
        <f t="shared" si="1"/>
        <v/>
      </c>
      <c r="K36" s="797" t="str">
        <f t="shared" si="2"/>
        <v/>
      </c>
      <c r="L36" s="794">
        <f>MAX(F36:$F$100)</f>
        <v>0</v>
      </c>
      <c r="M36" s="794">
        <f>MAX(G36:$G$100)</f>
        <v>0</v>
      </c>
    </row>
    <row r="37" spans="1:13" x14ac:dyDescent="0.2">
      <c r="A37" s="803" t="str">
        <f t="shared" si="3"/>
        <v/>
      </c>
      <c r="B37" s="865" t="str">
        <f>IF(A37="","",VLOOKUP(A37,'[3]Optional Calls'!A$1:D$65536,2,FALSE))</f>
        <v/>
      </c>
      <c r="C37" s="864" t="str">
        <f>IF(A37="","",VLOOKUP(A37,'[3]Optional Calls'!A$1:D$65536,4,FALSE))</f>
        <v/>
      </c>
      <c r="D37" s="863" t="str">
        <f>IF(SUM(K37:$K$100)=0,"",SUM(K37:$K$100))</f>
        <v/>
      </c>
      <c r="E37" s="799" t="str">
        <f t="shared" si="0"/>
        <v/>
      </c>
      <c r="F37" s="799" t="str">
        <f>IF(A37="","",SUM(E36:E37))</f>
        <v/>
      </c>
      <c r="G37" s="799" t="s">
        <v>409</v>
      </c>
      <c r="H37" s="799" t="str">
        <f t="shared" si="4"/>
        <v/>
      </c>
      <c r="I37" s="798"/>
      <c r="J37" s="797" t="str">
        <f t="shared" si="1"/>
        <v/>
      </c>
      <c r="K37" s="797" t="str">
        <f t="shared" si="2"/>
        <v/>
      </c>
      <c r="L37" s="794">
        <f>MAX(F37:$F$100)</f>
        <v>0</v>
      </c>
      <c r="M37" s="794">
        <f>MAX(G37:$G$100)</f>
        <v>0</v>
      </c>
    </row>
    <row r="38" spans="1:13" x14ac:dyDescent="0.2">
      <c r="A38" s="803" t="str">
        <f t="shared" si="3"/>
        <v/>
      </c>
      <c r="B38" s="865" t="str">
        <f>IF(A38="","",VLOOKUP(A38,'[3]Optional Calls'!A$1:D$65536,2,FALSE))</f>
        <v/>
      </c>
      <c r="C38" s="864" t="str">
        <f>IF(A38="","",VLOOKUP(A38,'[3]Optional Calls'!A$1:D$65536,4,FALSE))</f>
        <v/>
      </c>
      <c r="D38" s="863" t="str">
        <f>IF(SUM(K38:$K$100)=0,"",SUM(K38:$K$100))</f>
        <v/>
      </c>
      <c r="E38" s="799" t="str">
        <f t="shared" si="0"/>
        <v/>
      </c>
      <c r="F38" s="799"/>
      <c r="G38" s="799" t="str">
        <f>IF(A38="","",SUM(E37:E38))</f>
        <v/>
      </c>
      <c r="H38" s="799" t="str">
        <f t="shared" si="4"/>
        <v/>
      </c>
      <c r="I38" s="798"/>
      <c r="J38" s="797" t="str">
        <f t="shared" si="1"/>
        <v/>
      </c>
      <c r="K38" s="797" t="str">
        <f t="shared" si="2"/>
        <v/>
      </c>
      <c r="L38" s="794">
        <f>MAX(F38:$F$100)</f>
        <v>0</v>
      </c>
      <c r="M38" s="794">
        <f>MAX(G38:$G$100)</f>
        <v>0</v>
      </c>
    </row>
    <row r="39" spans="1:13" x14ac:dyDescent="0.2">
      <c r="A39" s="803" t="str">
        <f t="shared" si="3"/>
        <v/>
      </c>
      <c r="B39" s="865" t="str">
        <f>IF(A39="","",VLOOKUP(A39,'[3]Optional Calls'!A$1:D$65536,2,FALSE))</f>
        <v/>
      </c>
      <c r="C39" s="864" t="str">
        <f>IF(A39="","",VLOOKUP(A39,'[3]Optional Calls'!A$1:D$65536,4,FALSE))</f>
        <v/>
      </c>
      <c r="D39" s="863" t="str">
        <f>IF(SUM(K39:$K$100)=0,"",SUM(K39:$K$100))</f>
        <v/>
      </c>
      <c r="E39" s="799" t="str">
        <f t="shared" si="0"/>
        <v/>
      </c>
      <c r="F39" s="799" t="str">
        <f>IF(A39="","",SUM(E38:E39))</f>
        <v/>
      </c>
      <c r="G39" s="799" t="s">
        <v>409</v>
      </c>
      <c r="H39" s="799" t="str">
        <f t="shared" si="4"/>
        <v/>
      </c>
      <c r="I39" s="798"/>
      <c r="J39" s="797" t="str">
        <f t="shared" si="1"/>
        <v/>
      </c>
      <c r="K39" s="797" t="str">
        <f t="shared" si="2"/>
        <v/>
      </c>
      <c r="L39" s="794">
        <f>MAX(F39:$F$100)</f>
        <v>0</v>
      </c>
      <c r="M39" s="794">
        <f>MAX(G39:$G$100)</f>
        <v>0</v>
      </c>
    </row>
    <row r="40" spans="1:13" x14ac:dyDescent="0.2">
      <c r="A40" s="803" t="str">
        <f t="shared" si="3"/>
        <v/>
      </c>
      <c r="B40" s="865" t="str">
        <f>IF(A40="","",VLOOKUP(A40,'[3]Optional Calls'!A$1:D$65536,2,FALSE))</f>
        <v/>
      </c>
      <c r="C40" s="864" t="str">
        <f>IF(A40="","",VLOOKUP(A40,'[3]Optional Calls'!A$1:D$65536,4,FALSE))</f>
        <v/>
      </c>
      <c r="D40" s="863" t="str">
        <f>IF(SUM(K40:$K$100)=0,"",SUM(K40:$K$100))</f>
        <v/>
      </c>
      <c r="E40" s="799" t="str">
        <f t="shared" si="0"/>
        <v/>
      </c>
      <c r="F40" s="799"/>
      <c r="G40" s="799" t="str">
        <f>IF(A40="","",SUM(E39:E40))</f>
        <v/>
      </c>
      <c r="H40" s="799" t="str">
        <f t="shared" si="4"/>
        <v/>
      </c>
      <c r="I40" s="798"/>
      <c r="J40" s="797" t="str">
        <f t="shared" si="1"/>
        <v/>
      </c>
      <c r="K40" s="797" t="str">
        <f t="shared" si="2"/>
        <v/>
      </c>
      <c r="L40" s="794">
        <f>MAX(F40:$F$100)</f>
        <v>0</v>
      </c>
      <c r="M40" s="794">
        <f>MAX(G40:$G$100)</f>
        <v>0</v>
      </c>
    </row>
    <row r="41" spans="1:13" x14ac:dyDescent="0.2">
      <c r="A41" s="803" t="str">
        <f t="shared" si="3"/>
        <v/>
      </c>
      <c r="B41" s="865" t="str">
        <f>IF(A41="","",VLOOKUP(A41,'[3]Optional Calls'!A$1:D$65536,2,FALSE))</f>
        <v/>
      </c>
      <c r="C41" s="864" t="str">
        <f>IF(A41="","",VLOOKUP(A41,'[3]Optional Calls'!A$1:D$65536,4,FALSE))</f>
        <v/>
      </c>
      <c r="D41" s="863" t="str">
        <f>IF(SUM(K41:$K$100)=0,"",SUM(K41:$K$100))</f>
        <v/>
      </c>
      <c r="E41" s="799" t="str">
        <f t="shared" si="0"/>
        <v/>
      </c>
      <c r="F41" s="799" t="str">
        <f>IF(A41="","",SUM(E40:E41))</f>
        <v/>
      </c>
      <c r="G41" s="799" t="s">
        <v>409</v>
      </c>
      <c r="H41" s="799" t="str">
        <f t="shared" si="4"/>
        <v/>
      </c>
      <c r="I41" s="798"/>
      <c r="J41" s="797" t="str">
        <f t="shared" si="1"/>
        <v/>
      </c>
      <c r="K41" s="797" t="str">
        <f t="shared" si="2"/>
        <v/>
      </c>
      <c r="L41" s="794">
        <f>MAX(F41:$F$100)</f>
        <v>0</v>
      </c>
      <c r="M41" s="794">
        <f>MAX(G41:$G$100)</f>
        <v>0</v>
      </c>
    </row>
    <row r="42" spans="1:13" x14ac:dyDescent="0.2">
      <c r="A42" s="803" t="str">
        <f t="shared" si="3"/>
        <v/>
      </c>
      <c r="B42" s="865" t="str">
        <f>IF(A42="","",VLOOKUP(A42,'[3]Optional Calls'!A$1:D$65536,2,FALSE))</f>
        <v/>
      </c>
      <c r="C42" s="864" t="str">
        <f>IF(A42="","",VLOOKUP(A42,'[3]Optional Calls'!A$1:D$65536,4,FALSE))</f>
        <v/>
      </c>
      <c r="D42" s="863" t="str">
        <f>IF(SUM(K42:$K$100)=0,"",SUM(K42:$K$100))</f>
        <v/>
      </c>
      <c r="E42" s="799" t="str">
        <f t="shared" si="0"/>
        <v/>
      </c>
      <c r="F42" s="799"/>
      <c r="G42" s="799" t="str">
        <f>IF(A42="","",SUM(E41:E42))</f>
        <v/>
      </c>
      <c r="H42" s="799" t="str">
        <f t="shared" si="4"/>
        <v/>
      </c>
      <c r="I42" s="798"/>
      <c r="J42" s="797" t="str">
        <f t="shared" si="1"/>
        <v/>
      </c>
      <c r="K42" s="797" t="str">
        <f t="shared" si="2"/>
        <v/>
      </c>
      <c r="L42" s="794">
        <f>MAX(F42:$F$100)</f>
        <v>0</v>
      </c>
      <c r="M42" s="794">
        <f>MAX(G42:$G$100)</f>
        <v>0</v>
      </c>
    </row>
    <row r="43" spans="1:13" x14ac:dyDescent="0.2">
      <c r="A43" s="803" t="str">
        <f t="shared" si="3"/>
        <v/>
      </c>
      <c r="B43" s="865" t="str">
        <f>IF(A43="","",VLOOKUP(A43,'[3]Optional Calls'!A$1:D$65536,2,FALSE))</f>
        <v/>
      </c>
      <c r="C43" s="864" t="str">
        <f>IF(A43="","",VLOOKUP(A43,'[3]Optional Calls'!A$1:D$65536,4,FALSE))</f>
        <v/>
      </c>
      <c r="D43" s="863" t="str">
        <f>IF(SUM(K43:$K$100)=0,"",SUM(K43:$K$100))</f>
        <v/>
      </c>
      <c r="E43" s="799" t="str">
        <f t="shared" si="0"/>
        <v/>
      </c>
      <c r="F43" s="799" t="str">
        <f>IF(A43="","",SUM(E42:E43))</f>
        <v/>
      </c>
      <c r="G43" s="799" t="s">
        <v>409</v>
      </c>
      <c r="H43" s="799" t="str">
        <f t="shared" si="4"/>
        <v/>
      </c>
      <c r="I43" s="798"/>
      <c r="J43" s="797" t="str">
        <f t="shared" si="1"/>
        <v/>
      </c>
      <c r="K43" s="797" t="str">
        <f t="shared" si="2"/>
        <v/>
      </c>
      <c r="L43" s="794">
        <f>MAX(F43:$F$100)</f>
        <v>0</v>
      </c>
      <c r="M43" s="794">
        <f>MAX(G43:$G$100)</f>
        <v>0</v>
      </c>
    </row>
    <row r="44" spans="1:13" x14ac:dyDescent="0.2">
      <c r="A44" s="803" t="str">
        <f t="shared" si="3"/>
        <v/>
      </c>
      <c r="B44" s="865" t="str">
        <f>IF(A44="","",VLOOKUP(A44,'[3]Optional Calls'!A$1:D$65536,2,FALSE))</f>
        <v/>
      </c>
      <c r="C44" s="864" t="str">
        <f>IF(A44="","",VLOOKUP(A44,'[3]Optional Calls'!A$1:D$65536,4,FALSE))</f>
        <v/>
      </c>
      <c r="D44" s="863" t="str">
        <f>IF(SUM(K44:$K$100)=0,"",SUM(K44:$K$100))</f>
        <v/>
      </c>
      <c r="E44" s="799" t="str">
        <f t="shared" ref="E44:E75" si="5">IF(A44="","",C44+D44)</f>
        <v/>
      </c>
      <c r="F44" s="799"/>
      <c r="G44" s="799" t="str">
        <f>IF(A44="","",SUM(E43:E44))</f>
        <v/>
      </c>
      <c r="H44" s="799" t="str">
        <f t="shared" si="4"/>
        <v/>
      </c>
      <c r="I44" s="798"/>
      <c r="J44" s="797" t="str">
        <f t="shared" ref="J44:J75" si="6">IF(A44="","",C44*B44*DAYS360($C$5,$C$6)/$F$7)</f>
        <v/>
      </c>
      <c r="K44" s="797" t="str">
        <f t="shared" ref="K44:K75" si="7">IF(A44="","",C44*B44/2)</f>
        <v/>
      </c>
      <c r="L44" s="794">
        <f>MAX(F44:$F$100)</f>
        <v>0</v>
      </c>
      <c r="M44" s="794">
        <f>MAX(G44:$G$100)</f>
        <v>0</v>
      </c>
    </row>
    <row r="45" spans="1:13" x14ac:dyDescent="0.2">
      <c r="A45" s="803" t="str">
        <f t="shared" ref="A45:A76" si="8">IF(A44&lt;$C$7,DATE(YEAR(A44),MONTH(A44)+6,DAY(A44)),"")</f>
        <v/>
      </c>
      <c r="B45" s="865" t="str">
        <f>IF(A45="","",VLOOKUP(A45,'[3]Optional Calls'!A$1:D$65536,2,FALSE))</f>
        <v/>
      </c>
      <c r="C45" s="864" t="str">
        <f>IF(A45="","",VLOOKUP(A45,'[3]Optional Calls'!A$1:D$65536,4,FALSE))</f>
        <v/>
      </c>
      <c r="D45" s="863" t="str">
        <f>IF(SUM(K45:$K$100)=0,"",SUM(K45:$K$100))</f>
        <v/>
      </c>
      <c r="E45" s="799" t="str">
        <f t="shared" si="5"/>
        <v/>
      </c>
      <c r="F45" s="799" t="str">
        <f>IF(A45="","",SUM(E44:E45))</f>
        <v/>
      </c>
      <c r="G45" s="799" t="s">
        <v>409</v>
      </c>
      <c r="H45" s="799" t="str">
        <f t="shared" si="4"/>
        <v/>
      </c>
      <c r="I45" s="798"/>
      <c r="J45" s="797" t="str">
        <f t="shared" si="6"/>
        <v/>
      </c>
      <c r="K45" s="797" t="str">
        <f t="shared" si="7"/>
        <v/>
      </c>
      <c r="L45" s="794">
        <f>MAX(F45:$F$100)</f>
        <v>0</v>
      </c>
      <c r="M45" s="794">
        <f>MAX(G45:$G$100)</f>
        <v>0</v>
      </c>
    </row>
    <row r="46" spans="1:13" x14ac:dyDescent="0.2">
      <c r="A46" s="803" t="str">
        <f t="shared" si="8"/>
        <v/>
      </c>
      <c r="B46" s="865" t="str">
        <f>IF(A46="","",VLOOKUP(A46,'[3]Optional Calls'!A$1:D$65536,2,FALSE))</f>
        <v/>
      </c>
      <c r="C46" s="864" t="str">
        <f>IF(A46="","",VLOOKUP(A46,'[3]Optional Calls'!A$1:D$65536,4,FALSE))</f>
        <v/>
      </c>
      <c r="D46" s="863" t="str">
        <f>IF(SUM(K46:$K$100)=0,"",SUM(K46:$K$100))</f>
        <v/>
      </c>
      <c r="E46" s="799" t="str">
        <f t="shared" si="5"/>
        <v/>
      </c>
      <c r="F46" s="799"/>
      <c r="G46" s="799" t="str">
        <f>IF(A46="","",SUM(E45:E46))</f>
        <v/>
      </c>
      <c r="H46" s="799" t="str">
        <f t="shared" ref="H46:H77" si="9">IF(A46="","",H45-C46)</f>
        <v/>
      </c>
      <c r="I46" s="798"/>
      <c r="J46" s="797" t="str">
        <f t="shared" si="6"/>
        <v/>
      </c>
      <c r="K46" s="797" t="str">
        <f t="shared" si="7"/>
        <v/>
      </c>
      <c r="L46" s="794">
        <f>MAX(F46:$F$100)</f>
        <v>0</v>
      </c>
      <c r="M46" s="794">
        <f>MAX(G46:$G$100)</f>
        <v>0</v>
      </c>
    </row>
    <row r="47" spans="1:13" x14ac:dyDescent="0.2">
      <c r="A47" s="803" t="str">
        <f t="shared" si="8"/>
        <v/>
      </c>
      <c r="B47" s="865" t="str">
        <f>IF(A47="","",VLOOKUP(A47,'[3]Optional Calls'!A$1:D$65536,2,FALSE))</f>
        <v/>
      </c>
      <c r="C47" s="864" t="str">
        <f>IF(A47="","",VLOOKUP(A47,'[3]Optional Calls'!A$1:D$65536,4,FALSE))</f>
        <v/>
      </c>
      <c r="D47" s="863" t="str">
        <f>IF(SUM(K47:$K$100)=0,"",SUM(K47:$K$100))</f>
        <v/>
      </c>
      <c r="E47" s="799" t="str">
        <f t="shared" si="5"/>
        <v/>
      </c>
      <c r="F47" s="799" t="str">
        <f>IF(A47="","",SUM(E46:E47))</f>
        <v/>
      </c>
      <c r="G47" s="799" t="s">
        <v>409</v>
      </c>
      <c r="H47" s="799" t="str">
        <f t="shared" si="9"/>
        <v/>
      </c>
      <c r="I47" s="798"/>
      <c r="J47" s="797" t="str">
        <f t="shared" si="6"/>
        <v/>
      </c>
      <c r="K47" s="797" t="str">
        <f t="shared" si="7"/>
        <v/>
      </c>
      <c r="L47" s="794">
        <f>MAX(F47:$F$100)</f>
        <v>0</v>
      </c>
      <c r="M47" s="794">
        <f>MAX(G47:$G$100)</f>
        <v>0</v>
      </c>
    </row>
    <row r="48" spans="1:13" ht="12" customHeight="1" x14ac:dyDescent="0.2">
      <c r="A48" s="803" t="str">
        <f t="shared" si="8"/>
        <v/>
      </c>
      <c r="B48" s="865" t="str">
        <f>IF(A48="","",VLOOKUP(A48,'[3]Optional Calls'!A$1:D$65536,2,FALSE))</f>
        <v/>
      </c>
      <c r="C48" s="864" t="str">
        <f>IF(A48="","",VLOOKUP(A48,'[3]Optional Calls'!A$1:D$65536,4,FALSE))</f>
        <v/>
      </c>
      <c r="D48" s="863" t="str">
        <f>IF(SUM(K48:$K$100)=0,"",SUM(K48:$K$100))</f>
        <v/>
      </c>
      <c r="E48" s="799" t="str">
        <f t="shared" si="5"/>
        <v/>
      </c>
      <c r="F48" s="799"/>
      <c r="G48" s="799" t="str">
        <f>IF(A48="","",SUM(E47:E48))</f>
        <v/>
      </c>
      <c r="H48" s="799" t="str">
        <f t="shared" si="9"/>
        <v/>
      </c>
      <c r="I48" s="798"/>
      <c r="J48" s="797" t="str">
        <f t="shared" si="6"/>
        <v/>
      </c>
      <c r="K48" s="797" t="str">
        <f t="shared" si="7"/>
        <v/>
      </c>
      <c r="L48" s="794">
        <f>MAX(F48:$F$100)</f>
        <v>0</v>
      </c>
      <c r="M48" s="794">
        <f>MAX(G48:$G$100)</f>
        <v>0</v>
      </c>
    </row>
    <row r="49" spans="1:13" ht="12" customHeight="1" x14ac:dyDescent="0.2">
      <c r="A49" s="803" t="str">
        <f t="shared" si="8"/>
        <v/>
      </c>
      <c r="B49" s="865" t="str">
        <f>IF(A49="","",VLOOKUP(A49,'[3]Optional Calls'!A$1:D$65536,2,FALSE))</f>
        <v/>
      </c>
      <c r="C49" s="864" t="str">
        <f>IF(A49="","",VLOOKUP(A49,'[3]Optional Calls'!A$1:D$65536,4,FALSE))</f>
        <v/>
      </c>
      <c r="D49" s="863" t="str">
        <f>IF(SUM(K49:$K$100)=0,"",SUM(K49:$K$100))</f>
        <v/>
      </c>
      <c r="E49" s="799" t="str">
        <f t="shared" si="5"/>
        <v/>
      </c>
      <c r="F49" s="799" t="str">
        <f>IF(A49="","",SUM(E48:E49))</f>
        <v/>
      </c>
      <c r="G49" s="799" t="s">
        <v>409</v>
      </c>
      <c r="H49" s="799" t="str">
        <f t="shared" si="9"/>
        <v/>
      </c>
      <c r="I49" s="798"/>
      <c r="J49" s="797" t="str">
        <f t="shared" si="6"/>
        <v/>
      </c>
      <c r="K49" s="797" t="str">
        <f t="shared" si="7"/>
        <v/>
      </c>
      <c r="L49" s="794">
        <f>MAX(F49:$F$100)</f>
        <v>0</v>
      </c>
      <c r="M49" s="794">
        <f>MAX(G49:$G$100)</f>
        <v>0</v>
      </c>
    </row>
    <row r="50" spans="1:13" ht="12" customHeight="1" x14ac:dyDescent="0.2">
      <c r="A50" s="803" t="str">
        <f t="shared" si="8"/>
        <v/>
      </c>
      <c r="B50" s="865" t="str">
        <f>IF(A50="","",VLOOKUP(A50,'[3]Optional Calls'!A$1:D$65536,2,FALSE))</f>
        <v/>
      </c>
      <c r="C50" s="864" t="str">
        <f>IF(A50="","",VLOOKUP(A50,'[3]Optional Calls'!A$1:D$65536,4,FALSE))</f>
        <v/>
      </c>
      <c r="D50" s="863" t="str">
        <f>IF(SUM(K50:$K$100)=0,"",SUM(K50:$K$100))</f>
        <v/>
      </c>
      <c r="E50" s="799" t="str">
        <f t="shared" si="5"/>
        <v/>
      </c>
      <c r="F50" s="799"/>
      <c r="G50" s="799" t="str">
        <f>IF(A50="","",SUM(E49:E50))</f>
        <v/>
      </c>
      <c r="H50" s="799" t="str">
        <f t="shared" si="9"/>
        <v/>
      </c>
      <c r="I50" s="798"/>
      <c r="J50" s="797" t="str">
        <f t="shared" si="6"/>
        <v/>
      </c>
      <c r="K50" s="797" t="str">
        <f t="shared" si="7"/>
        <v/>
      </c>
      <c r="L50" s="794">
        <f>MAX(F50:$F$100)</f>
        <v>0</v>
      </c>
      <c r="M50" s="794">
        <f>MAX(G50:$G$100)</f>
        <v>0</v>
      </c>
    </row>
    <row r="51" spans="1:13" ht="12" customHeight="1" x14ac:dyDescent="0.2">
      <c r="A51" s="803" t="str">
        <f t="shared" si="8"/>
        <v/>
      </c>
      <c r="B51" s="865" t="str">
        <f>IF(A51="","",VLOOKUP(A51,'[3]Optional Calls'!A$1:D$65536,2,FALSE))</f>
        <v/>
      </c>
      <c r="C51" s="864" t="str">
        <f>IF(A51="","",VLOOKUP(A51,'[3]Optional Calls'!A$1:D$65536,4,FALSE))</f>
        <v/>
      </c>
      <c r="D51" s="863" t="str">
        <f>IF(SUM(K51:$K$100)=0,"",SUM(K51:$K$100))</f>
        <v/>
      </c>
      <c r="E51" s="799" t="str">
        <f t="shared" si="5"/>
        <v/>
      </c>
      <c r="F51" s="799" t="str">
        <f>IF(A51="","",SUM(E50:E51))</f>
        <v/>
      </c>
      <c r="G51" s="799" t="s">
        <v>409</v>
      </c>
      <c r="H51" s="799" t="str">
        <f t="shared" si="9"/>
        <v/>
      </c>
      <c r="I51" s="798"/>
      <c r="J51" s="797" t="str">
        <f t="shared" si="6"/>
        <v/>
      </c>
      <c r="K51" s="797" t="str">
        <f t="shared" si="7"/>
        <v/>
      </c>
      <c r="L51" s="794">
        <f>MAX(F51:$F$100)</f>
        <v>0</v>
      </c>
      <c r="M51" s="794">
        <f>MAX(G51:$G$100)</f>
        <v>0</v>
      </c>
    </row>
    <row r="52" spans="1:13" ht="12" customHeight="1" x14ac:dyDescent="0.2">
      <c r="A52" s="803" t="str">
        <f t="shared" si="8"/>
        <v/>
      </c>
      <c r="B52" s="865" t="str">
        <f>IF(A52="","",VLOOKUP(A52,'[3]Optional Calls'!A$1:D$65536,2,FALSE))</f>
        <v/>
      </c>
      <c r="C52" s="864" t="str">
        <f>IF(A52="","",VLOOKUP(A52,'[3]Optional Calls'!A$1:D$65536,4,FALSE))</f>
        <v/>
      </c>
      <c r="D52" s="863" t="str">
        <f>IF(SUM(K52:$K$100)=0,"",SUM(K52:$K$100))</f>
        <v/>
      </c>
      <c r="E52" s="799" t="str">
        <f t="shared" si="5"/>
        <v/>
      </c>
      <c r="F52" s="799"/>
      <c r="G52" s="799" t="str">
        <f>IF(A52="","",SUM(E51:E52))</f>
        <v/>
      </c>
      <c r="H52" s="799" t="str">
        <f t="shared" si="9"/>
        <v/>
      </c>
      <c r="I52" s="798"/>
      <c r="J52" s="797" t="str">
        <f t="shared" si="6"/>
        <v/>
      </c>
      <c r="K52" s="797" t="str">
        <f t="shared" si="7"/>
        <v/>
      </c>
      <c r="L52" s="794">
        <f>MAX(F52:$F$100)</f>
        <v>0</v>
      </c>
      <c r="M52" s="794">
        <f>MAX(G52:$G$100)</f>
        <v>0</v>
      </c>
    </row>
    <row r="53" spans="1:13" ht="11.25" customHeight="1" x14ac:dyDescent="0.2">
      <c r="A53" s="803" t="str">
        <f t="shared" si="8"/>
        <v/>
      </c>
      <c r="B53" s="865" t="str">
        <f>IF(A53="","",VLOOKUP(A53,'[3]Optional Calls'!A$1:D$65536,2,FALSE))</f>
        <v/>
      </c>
      <c r="C53" s="864" t="str">
        <f>IF(A53="","",VLOOKUP(A53,'[3]Optional Calls'!A$1:D$65536,4,FALSE))</f>
        <v/>
      </c>
      <c r="D53" s="863" t="str">
        <f>IF(SUM(K53:$K$100)=0,"",SUM(K53:$K$100))</f>
        <v/>
      </c>
      <c r="E53" s="799" t="str">
        <f t="shared" si="5"/>
        <v/>
      </c>
      <c r="F53" s="799" t="str">
        <f>IF(A53="","",SUM(E52:E53))</f>
        <v/>
      </c>
      <c r="G53" s="799" t="s">
        <v>409</v>
      </c>
      <c r="H53" s="799" t="str">
        <f t="shared" si="9"/>
        <v/>
      </c>
      <c r="I53" s="798"/>
      <c r="J53" s="797" t="str">
        <f t="shared" si="6"/>
        <v/>
      </c>
      <c r="K53" s="797" t="str">
        <f t="shared" si="7"/>
        <v/>
      </c>
      <c r="L53" s="794">
        <f>MAX(F53:$F$100)</f>
        <v>0</v>
      </c>
      <c r="M53" s="794">
        <f>MAX(G53:$G$100)</f>
        <v>0</v>
      </c>
    </row>
    <row r="54" spans="1:13" ht="12" customHeight="1" x14ac:dyDescent="0.2">
      <c r="A54" s="803" t="str">
        <f t="shared" si="8"/>
        <v/>
      </c>
      <c r="B54" s="865" t="str">
        <f>IF(A54="","",VLOOKUP(A54,'[3]Optional Calls'!A$1:D$65536,2,FALSE))</f>
        <v/>
      </c>
      <c r="C54" s="864" t="str">
        <f>IF(A54="","",VLOOKUP(A54,'[3]Optional Calls'!A$1:D$65536,4,FALSE))</f>
        <v/>
      </c>
      <c r="D54" s="863" t="str">
        <f>IF(SUM(K54:$K$100)=0,"",SUM(K54:$K$100))</f>
        <v/>
      </c>
      <c r="E54" s="799" t="str">
        <f t="shared" si="5"/>
        <v/>
      </c>
      <c r="F54" s="799"/>
      <c r="G54" s="799" t="str">
        <f>IF(A54="","",SUM(E53:E54))</f>
        <v/>
      </c>
      <c r="H54" s="799" t="str">
        <f t="shared" si="9"/>
        <v/>
      </c>
      <c r="I54" s="798"/>
      <c r="J54" s="797" t="str">
        <f t="shared" si="6"/>
        <v/>
      </c>
      <c r="K54" s="797" t="str">
        <f t="shared" si="7"/>
        <v/>
      </c>
      <c r="L54" s="794">
        <f>MAX(F54:$F$100)</f>
        <v>0</v>
      </c>
      <c r="M54" s="794">
        <f>MAX(G54:$G$100)</f>
        <v>0</v>
      </c>
    </row>
    <row r="55" spans="1:13" ht="12" customHeight="1" x14ac:dyDescent="0.2">
      <c r="A55" s="803" t="str">
        <f t="shared" si="8"/>
        <v/>
      </c>
      <c r="B55" s="865" t="str">
        <f>IF(A55="","",VLOOKUP(A55,'[3]Optional Calls'!A$1:D$65536,2,FALSE))</f>
        <v/>
      </c>
      <c r="C55" s="864" t="str">
        <f>IF(A55="","",VLOOKUP(A55,'[3]Optional Calls'!A$1:D$65536,4,FALSE))</f>
        <v/>
      </c>
      <c r="D55" s="863" t="str">
        <f>IF(SUM(K55:$K$100)=0,"",SUM(K55:$K$100))</f>
        <v/>
      </c>
      <c r="E55" s="799" t="str">
        <f t="shared" si="5"/>
        <v/>
      </c>
      <c r="F55" s="799" t="str">
        <f>IF(A55="","",SUM(E54:E55))</f>
        <v/>
      </c>
      <c r="G55" s="799" t="s">
        <v>409</v>
      </c>
      <c r="H55" s="799" t="str">
        <f t="shared" si="9"/>
        <v/>
      </c>
      <c r="I55" s="798"/>
      <c r="J55" s="797" t="str">
        <f t="shared" si="6"/>
        <v/>
      </c>
      <c r="K55" s="797" t="str">
        <f t="shared" si="7"/>
        <v/>
      </c>
      <c r="L55" s="794">
        <f>MAX(F55:$F$100)</f>
        <v>0</v>
      </c>
      <c r="M55" s="794">
        <f>MAX(G55:$G$100)</f>
        <v>0</v>
      </c>
    </row>
    <row r="56" spans="1:13" ht="12" customHeight="1" x14ac:dyDescent="0.2">
      <c r="A56" s="803" t="str">
        <f t="shared" si="8"/>
        <v/>
      </c>
      <c r="B56" s="865" t="str">
        <f>IF(A56="","",VLOOKUP(A56,'[3]Optional Calls'!A$1:D$65536,2,FALSE))</f>
        <v/>
      </c>
      <c r="C56" s="864" t="str">
        <f>IF(A56="","",VLOOKUP(A56,'[3]Optional Calls'!A$1:D$65536,4,FALSE))</f>
        <v/>
      </c>
      <c r="D56" s="863" t="str">
        <f>IF(SUM(K56:$K$100)=0,"",SUM(K56:$K$100))</f>
        <v/>
      </c>
      <c r="E56" s="799" t="str">
        <f t="shared" si="5"/>
        <v/>
      </c>
      <c r="F56" s="799"/>
      <c r="G56" s="799" t="str">
        <f>IF(A56="","",SUM(E55:E56))</f>
        <v/>
      </c>
      <c r="H56" s="799" t="str">
        <f t="shared" si="9"/>
        <v/>
      </c>
      <c r="I56" s="798"/>
      <c r="J56" s="797" t="str">
        <f t="shared" si="6"/>
        <v/>
      </c>
      <c r="K56" s="797" t="str">
        <f t="shared" si="7"/>
        <v/>
      </c>
      <c r="L56" s="794">
        <f>MAX(F56:$F$100)</f>
        <v>0</v>
      </c>
      <c r="M56" s="794">
        <f>MAX(G56:$G$100)</f>
        <v>0</v>
      </c>
    </row>
    <row r="57" spans="1:13" ht="12" customHeight="1" x14ac:dyDescent="0.2">
      <c r="A57" s="803" t="str">
        <f t="shared" si="8"/>
        <v/>
      </c>
      <c r="B57" s="865" t="str">
        <f>IF(A57="","",VLOOKUP(A57,'[3]Optional Calls'!A$1:D$65536,2,FALSE))</f>
        <v/>
      </c>
      <c r="C57" s="864" t="str">
        <f>IF(A57="","",VLOOKUP(A57,'[3]Optional Calls'!A$1:D$65536,4,FALSE))</f>
        <v/>
      </c>
      <c r="D57" s="863" t="str">
        <f>IF(SUM(K57:$K$100)=0,"",SUM(K57:$K$100))</f>
        <v/>
      </c>
      <c r="E57" s="799" t="str">
        <f t="shared" si="5"/>
        <v/>
      </c>
      <c r="F57" s="799" t="str">
        <f>IF(A57="","",SUM(E56:E57))</f>
        <v/>
      </c>
      <c r="G57" s="799" t="s">
        <v>409</v>
      </c>
      <c r="H57" s="799" t="str">
        <f t="shared" si="9"/>
        <v/>
      </c>
      <c r="I57" s="798"/>
      <c r="J57" s="797" t="str">
        <f t="shared" si="6"/>
        <v/>
      </c>
      <c r="K57" s="797" t="str">
        <f t="shared" si="7"/>
        <v/>
      </c>
      <c r="L57" s="794">
        <f>MAX(F57:$F$100)</f>
        <v>0</v>
      </c>
      <c r="M57" s="794">
        <f>MAX(G57:$G$100)</f>
        <v>0</v>
      </c>
    </row>
    <row r="58" spans="1:13" ht="12" customHeight="1" x14ac:dyDescent="0.2">
      <c r="A58" s="803" t="str">
        <f t="shared" si="8"/>
        <v/>
      </c>
      <c r="B58" s="865" t="str">
        <f>IF(A58="","",VLOOKUP(A58,'[3]Optional Calls'!A$1:D$65536,2,FALSE))</f>
        <v/>
      </c>
      <c r="C58" s="864" t="str">
        <f>IF(A58="","",VLOOKUP(A58,'[3]Optional Calls'!A$1:D$65536,4,FALSE))</f>
        <v/>
      </c>
      <c r="D58" s="863" t="str">
        <f>IF(SUM(K58:$K$100)=0,"",SUM(K58:$K$100))</f>
        <v/>
      </c>
      <c r="E58" s="799" t="str">
        <f t="shared" si="5"/>
        <v/>
      </c>
      <c r="F58" s="799"/>
      <c r="G58" s="799" t="str">
        <f>IF(A58="","",SUM(E57:E58))</f>
        <v/>
      </c>
      <c r="H58" s="799" t="str">
        <f t="shared" si="9"/>
        <v/>
      </c>
      <c r="I58" s="798"/>
      <c r="J58" s="797" t="str">
        <f t="shared" si="6"/>
        <v/>
      </c>
      <c r="K58" s="797" t="str">
        <f t="shared" si="7"/>
        <v/>
      </c>
      <c r="L58" s="794">
        <f>MAX(F58:$F$100)</f>
        <v>0</v>
      </c>
      <c r="M58" s="794">
        <f>MAX(G58:$G$100)</f>
        <v>0</v>
      </c>
    </row>
    <row r="59" spans="1:13" ht="12" customHeight="1" x14ac:dyDescent="0.2">
      <c r="A59" s="803" t="str">
        <f t="shared" si="8"/>
        <v/>
      </c>
      <c r="B59" s="865" t="str">
        <f>IF(A59="","",VLOOKUP(A59,'[3]Optional Calls'!A$1:D$65536,2,FALSE))</f>
        <v/>
      </c>
      <c r="C59" s="864" t="str">
        <f>IF(A59="","",VLOOKUP(A59,'[3]Optional Calls'!A$1:D$65536,4,FALSE))</f>
        <v/>
      </c>
      <c r="D59" s="863" t="str">
        <f>IF(SUM(K59:$K$100)=0,"",SUM(K59:$K$100))</f>
        <v/>
      </c>
      <c r="E59" s="799" t="str">
        <f t="shared" si="5"/>
        <v/>
      </c>
      <c r="F59" s="799" t="str">
        <f>IF(A59="","",SUM(E58:E59))</f>
        <v/>
      </c>
      <c r="G59" s="799" t="s">
        <v>409</v>
      </c>
      <c r="H59" s="799" t="str">
        <f t="shared" si="9"/>
        <v/>
      </c>
      <c r="I59" s="798"/>
      <c r="J59" s="797" t="str">
        <f t="shared" si="6"/>
        <v/>
      </c>
      <c r="K59" s="797" t="str">
        <f t="shared" si="7"/>
        <v/>
      </c>
      <c r="L59" s="794">
        <f>MAX(F59:$F$100)</f>
        <v>0</v>
      </c>
      <c r="M59" s="794">
        <f>MAX(G59:$G$100)</f>
        <v>0</v>
      </c>
    </row>
    <row r="60" spans="1:13" ht="12" customHeight="1" x14ac:dyDescent="0.2">
      <c r="A60" s="803" t="str">
        <f t="shared" si="8"/>
        <v/>
      </c>
      <c r="B60" s="865" t="str">
        <f>IF(A60="","",VLOOKUP(A60,'[3]Optional Calls'!A$1:D$65536,2,FALSE))</f>
        <v/>
      </c>
      <c r="C60" s="864" t="str">
        <f>IF(A60="","",VLOOKUP(A60,'[3]Optional Calls'!A$1:D$65536,4,FALSE))</f>
        <v/>
      </c>
      <c r="D60" s="863" t="str">
        <f>IF(SUM(K60:$K$100)=0,"",SUM(K60:$K$100))</f>
        <v/>
      </c>
      <c r="E60" s="799" t="str">
        <f t="shared" si="5"/>
        <v/>
      </c>
      <c r="F60" s="799"/>
      <c r="G60" s="799" t="str">
        <f>IF(A60="","",SUM(E59:E60))</f>
        <v/>
      </c>
      <c r="H60" s="799" t="str">
        <f t="shared" si="9"/>
        <v/>
      </c>
      <c r="I60" s="798"/>
      <c r="J60" s="797" t="str">
        <f t="shared" si="6"/>
        <v/>
      </c>
      <c r="K60" s="797" t="str">
        <f t="shared" si="7"/>
        <v/>
      </c>
      <c r="L60" s="794">
        <f>MAX(F60:$F$100)</f>
        <v>0</v>
      </c>
      <c r="M60" s="794">
        <f>MAX(G60:$G$100)</f>
        <v>0</v>
      </c>
    </row>
    <row r="61" spans="1:13" ht="12" customHeight="1" x14ac:dyDescent="0.2">
      <c r="A61" s="803" t="str">
        <f t="shared" si="8"/>
        <v/>
      </c>
      <c r="B61" s="865" t="str">
        <f>IF(A61="","",VLOOKUP(A61,'[3]Optional Calls'!A$1:D$65536,2,FALSE))</f>
        <v/>
      </c>
      <c r="C61" s="864" t="str">
        <f>IF(A61="","",VLOOKUP(A61,'[3]Optional Calls'!A$1:D$65536,4,FALSE))</f>
        <v/>
      </c>
      <c r="D61" s="863" t="str">
        <f>IF(SUM(K61:$K$100)=0,"",SUM(K61:$K$100))</f>
        <v/>
      </c>
      <c r="E61" s="799" t="str">
        <f t="shared" si="5"/>
        <v/>
      </c>
      <c r="F61" s="799" t="str">
        <f>IF(A61="","",SUM(E60:E61))</f>
        <v/>
      </c>
      <c r="G61" s="799" t="s">
        <v>409</v>
      </c>
      <c r="H61" s="799" t="str">
        <f t="shared" si="9"/>
        <v/>
      </c>
      <c r="I61" s="798"/>
      <c r="J61" s="797" t="str">
        <f t="shared" si="6"/>
        <v/>
      </c>
      <c r="K61" s="797" t="str">
        <f t="shared" si="7"/>
        <v/>
      </c>
      <c r="L61" s="794">
        <f>MAX(F61:$F$100)</f>
        <v>0</v>
      </c>
      <c r="M61" s="794">
        <f>MAX(G61:$G$100)</f>
        <v>0</v>
      </c>
    </row>
    <row r="62" spans="1:13" ht="12" customHeight="1" x14ac:dyDescent="0.2">
      <c r="A62" s="803" t="str">
        <f t="shared" si="8"/>
        <v/>
      </c>
      <c r="B62" s="865" t="str">
        <f>IF(A62="","",VLOOKUP(A62,'[3]Optional Calls'!A$1:D$65536,2,FALSE))</f>
        <v/>
      </c>
      <c r="C62" s="864" t="str">
        <f>IF(A62="","",VLOOKUP(A62,'[3]Optional Calls'!A$1:D$65536,4,FALSE))</f>
        <v/>
      </c>
      <c r="D62" s="863" t="str">
        <f>IF(SUM(K62:$K$100)=0,"",SUM(K62:$K$100))</f>
        <v/>
      </c>
      <c r="E62" s="799" t="str">
        <f t="shared" si="5"/>
        <v/>
      </c>
      <c r="F62" s="799"/>
      <c r="G62" s="799" t="str">
        <f>IF(A62="","",SUM(E61:E62))</f>
        <v/>
      </c>
      <c r="H62" s="799" t="str">
        <f t="shared" si="9"/>
        <v/>
      </c>
      <c r="I62" s="798"/>
      <c r="J62" s="797" t="str">
        <f t="shared" si="6"/>
        <v/>
      </c>
      <c r="K62" s="797" t="str">
        <f t="shared" si="7"/>
        <v/>
      </c>
      <c r="L62" s="794">
        <f>MAX(F62:$F$100)</f>
        <v>0</v>
      </c>
      <c r="M62" s="794">
        <f>MAX(G62:$G$100)</f>
        <v>0</v>
      </c>
    </row>
    <row r="63" spans="1:13" ht="12" customHeight="1" x14ac:dyDescent="0.2">
      <c r="A63" s="803" t="str">
        <f t="shared" si="8"/>
        <v/>
      </c>
      <c r="B63" s="865" t="str">
        <f>IF(A63="","",VLOOKUP(A63,'[3]Optional Calls'!A$1:D$65536,2,FALSE))</f>
        <v/>
      </c>
      <c r="C63" s="864" t="str">
        <f>IF(A63="","",VLOOKUP(A63,'[3]Optional Calls'!A$1:D$65536,4,FALSE))</f>
        <v/>
      </c>
      <c r="D63" s="863" t="str">
        <f>IF(SUM(K63:$K$100)=0,"",SUM(K63:$K$100))</f>
        <v/>
      </c>
      <c r="E63" s="799" t="str">
        <f t="shared" si="5"/>
        <v/>
      </c>
      <c r="F63" s="799" t="str">
        <f>IF(A63="","",SUM(E62:E63))</f>
        <v/>
      </c>
      <c r="G63" s="799" t="s">
        <v>409</v>
      </c>
      <c r="H63" s="799" t="str">
        <f t="shared" si="9"/>
        <v/>
      </c>
      <c r="I63" s="798"/>
      <c r="J63" s="797" t="str">
        <f t="shared" si="6"/>
        <v/>
      </c>
      <c r="K63" s="797" t="str">
        <f t="shared" si="7"/>
        <v/>
      </c>
      <c r="L63" s="794">
        <f>MAX(F63:$F$100)</f>
        <v>0</v>
      </c>
      <c r="M63" s="794">
        <f>MAX(G63:$G$100)</f>
        <v>0</v>
      </c>
    </row>
    <row r="64" spans="1:13" ht="12" customHeight="1" x14ac:dyDescent="0.2">
      <c r="A64" s="803" t="str">
        <f t="shared" si="8"/>
        <v/>
      </c>
      <c r="B64" s="865" t="str">
        <f>IF(A64="","",VLOOKUP(A64,'[3]Optional Calls'!A$1:D$65536,2,FALSE))</f>
        <v/>
      </c>
      <c r="C64" s="864" t="str">
        <f>IF(A64="","",VLOOKUP(A64,'[3]Optional Calls'!A$1:D$65536,4,FALSE))</f>
        <v/>
      </c>
      <c r="D64" s="863" t="str">
        <f>IF(SUM(K64:$K$100)=0,"",SUM(K64:$K$100))</f>
        <v/>
      </c>
      <c r="E64" s="799" t="str">
        <f t="shared" si="5"/>
        <v/>
      </c>
      <c r="F64" s="799"/>
      <c r="G64" s="799" t="str">
        <f>IF(A64="","",SUM(E63:E64))</f>
        <v/>
      </c>
      <c r="H64" s="799" t="str">
        <f t="shared" si="9"/>
        <v/>
      </c>
      <c r="I64" s="798"/>
      <c r="J64" s="797" t="str">
        <f t="shared" si="6"/>
        <v/>
      </c>
      <c r="K64" s="797" t="str">
        <f t="shared" si="7"/>
        <v/>
      </c>
      <c r="L64" s="794">
        <f>MAX(F64:$F$100)</f>
        <v>0</v>
      </c>
      <c r="M64" s="794">
        <f>MAX(G64:$G$100)</f>
        <v>0</v>
      </c>
    </row>
    <row r="65" spans="1:13" ht="12" customHeight="1" x14ac:dyDescent="0.2">
      <c r="A65" s="803" t="str">
        <f t="shared" si="8"/>
        <v/>
      </c>
      <c r="B65" s="865" t="str">
        <f>IF(A65="","",VLOOKUP(A65,'[3]Optional Calls'!A$1:D$65536,2,FALSE))</f>
        <v/>
      </c>
      <c r="C65" s="864" t="str">
        <f>IF(A65="","",VLOOKUP(A65,'[3]Optional Calls'!A$1:D$65536,4,FALSE))</f>
        <v/>
      </c>
      <c r="D65" s="863" t="str">
        <f>IF(SUM(K65:$K$100)=0,"",SUM(K65:$K$100))</f>
        <v/>
      </c>
      <c r="E65" s="799" t="str">
        <f t="shared" si="5"/>
        <v/>
      </c>
      <c r="F65" s="799" t="str">
        <f>IF(A65="","",SUM(E64:E65))</f>
        <v/>
      </c>
      <c r="G65" s="799" t="s">
        <v>409</v>
      </c>
      <c r="H65" s="799" t="str">
        <f t="shared" si="9"/>
        <v/>
      </c>
      <c r="I65" s="798"/>
      <c r="J65" s="797" t="str">
        <f t="shared" si="6"/>
        <v/>
      </c>
      <c r="K65" s="797" t="str">
        <f t="shared" si="7"/>
        <v/>
      </c>
      <c r="L65" s="794">
        <f>MAX(F65:$F$100)</f>
        <v>0</v>
      </c>
      <c r="M65" s="794">
        <f>MAX(G65:$G$100)</f>
        <v>0</v>
      </c>
    </row>
    <row r="66" spans="1:13" ht="12" customHeight="1" x14ac:dyDescent="0.2">
      <c r="A66" s="803" t="str">
        <f t="shared" si="8"/>
        <v/>
      </c>
      <c r="B66" s="865" t="str">
        <f>IF(A66="","",VLOOKUP(A66,'[3]Optional Calls'!A$1:D$65536,2,FALSE))</f>
        <v/>
      </c>
      <c r="C66" s="864" t="str">
        <f>IF(A66="","",VLOOKUP(A66,'[3]Optional Calls'!A$1:D$65536,4,FALSE))</f>
        <v/>
      </c>
      <c r="D66" s="863" t="str">
        <f>IF(SUM(K66:$K$100)=0,"",SUM(K66:$K$100))</f>
        <v/>
      </c>
      <c r="E66" s="799" t="str">
        <f t="shared" si="5"/>
        <v/>
      </c>
      <c r="F66" s="799"/>
      <c r="G66" s="799" t="str">
        <f>IF(A66="","",SUM(E65:E66))</f>
        <v/>
      </c>
      <c r="H66" s="799" t="str">
        <f t="shared" si="9"/>
        <v/>
      </c>
      <c r="I66" s="798"/>
      <c r="J66" s="797" t="str">
        <f t="shared" si="6"/>
        <v/>
      </c>
      <c r="K66" s="797" t="str">
        <f t="shared" si="7"/>
        <v/>
      </c>
      <c r="L66" s="794">
        <f>MAX(F66:$F$100)</f>
        <v>0</v>
      </c>
      <c r="M66" s="794">
        <f>MAX(G66:$G$100)</f>
        <v>0</v>
      </c>
    </row>
    <row r="67" spans="1:13" ht="12" customHeight="1" x14ac:dyDescent="0.2">
      <c r="A67" s="803" t="str">
        <f t="shared" si="8"/>
        <v/>
      </c>
      <c r="B67" s="865" t="str">
        <f>IF(A67="","",VLOOKUP(A67,'[3]Optional Calls'!A$1:D$65536,2,FALSE))</f>
        <v/>
      </c>
      <c r="C67" s="864" t="str">
        <f>IF(A67="","",VLOOKUP(A67,'[3]Optional Calls'!A$1:D$65536,4,FALSE))</f>
        <v/>
      </c>
      <c r="D67" s="863" t="str">
        <f>IF(SUM(K67:$K$100)=0,"",SUM(K67:$K$100))</f>
        <v/>
      </c>
      <c r="E67" s="799" t="str">
        <f t="shared" si="5"/>
        <v/>
      </c>
      <c r="F67" s="799" t="str">
        <f>IF(A67="","",SUM(E66:E67))</f>
        <v/>
      </c>
      <c r="G67" s="799" t="s">
        <v>409</v>
      </c>
      <c r="H67" s="799" t="str">
        <f t="shared" si="9"/>
        <v/>
      </c>
      <c r="I67" s="798"/>
      <c r="J67" s="797" t="str">
        <f t="shared" si="6"/>
        <v/>
      </c>
      <c r="K67" s="797" t="str">
        <f t="shared" si="7"/>
        <v/>
      </c>
      <c r="L67" s="794">
        <f>MAX(F67:$F$100)</f>
        <v>0</v>
      </c>
      <c r="M67" s="794">
        <f>MAX(G67:$G$100)</f>
        <v>0</v>
      </c>
    </row>
    <row r="68" spans="1:13" ht="12" customHeight="1" x14ac:dyDescent="0.2">
      <c r="A68" s="803" t="str">
        <f t="shared" si="8"/>
        <v/>
      </c>
      <c r="B68" s="865" t="str">
        <f>IF(A68="","",VLOOKUP(A68,'[3]Optional Calls'!A$1:D$65536,2,FALSE))</f>
        <v/>
      </c>
      <c r="C68" s="864" t="str">
        <f>IF(A68="","",VLOOKUP(A68,'[3]Optional Calls'!A$1:D$65536,4,FALSE))</f>
        <v/>
      </c>
      <c r="D68" s="863" t="str">
        <f>IF(SUM(K68:$K$100)=0,"",SUM(K68:$K$100))</f>
        <v/>
      </c>
      <c r="E68" s="799" t="str">
        <f t="shared" si="5"/>
        <v/>
      </c>
      <c r="F68" s="799"/>
      <c r="G68" s="799" t="str">
        <f>IF(A68="","",SUM(E67:E68))</f>
        <v/>
      </c>
      <c r="H68" s="799" t="str">
        <f t="shared" si="9"/>
        <v/>
      </c>
      <c r="I68" s="798"/>
      <c r="J68" s="797" t="str">
        <f t="shared" si="6"/>
        <v/>
      </c>
      <c r="K68" s="797" t="str">
        <f t="shared" si="7"/>
        <v/>
      </c>
      <c r="L68" s="794">
        <f>MAX(F68:$F$100)</f>
        <v>0</v>
      </c>
      <c r="M68" s="794">
        <f>MAX(G68:$G$100)</f>
        <v>0</v>
      </c>
    </row>
    <row r="69" spans="1:13" ht="12" customHeight="1" x14ac:dyDescent="0.2">
      <c r="A69" s="803" t="str">
        <f t="shared" si="8"/>
        <v/>
      </c>
      <c r="B69" s="865" t="str">
        <f>IF(A69="","",VLOOKUP(A69,'[3]Optional Calls'!A$1:D$65536,2,FALSE))</f>
        <v/>
      </c>
      <c r="C69" s="864" t="str">
        <f>IF(A69="","",VLOOKUP(A69,'[3]Optional Calls'!A$1:D$65536,4,FALSE))</f>
        <v/>
      </c>
      <c r="D69" s="863" t="str">
        <f>IF(SUM(K69:$K$100)=0,"",SUM(K69:$K$100))</f>
        <v/>
      </c>
      <c r="E69" s="799" t="str">
        <f t="shared" si="5"/>
        <v/>
      </c>
      <c r="F69" s="799" t="str">
        <f>IF(A69="","",SUM(E68:E69))</f>
        <v/>
      </c>
      <c r="G69" s="799" t="s">
        <v>409</v>
      </c>
      <c r="H69" s="799" t="str">
        <f t="shared" si="9"/>
        <v/>
      </c>
      <c r="I69" s="798"/>
      <c r="J69" s="797" t="str">
        <f t="shared" si="6"/>
        <v/>
      </c>
      <c r="K69" s="797" t="str">
        <f t="shared" si="7"/>
        <v/>
      </c>
      <c r="L69" s="794">
        <f>MAX(F69:$F$100)</f>
        <v>0</v>
      </c>
      <c r="M69" s="794">
        <f>MAX(G69:$G$100)</f>
        <v>0</v>
      </c>
    </row>
    <row r="70" spans="1:13" ht="12" customHeight="1" x14ac:dyDescent="0.2">
      <c r="A70" s="803" t="str">
        <f t="shared" si="8"/>
        <v/>
      </c>
      <c r="B70" s="865" t="str">
        <f>IF(A70="","",VLOOKUP(A70,'[3]Optional Calls'!A$1:D$65536,2,FALSE))</f>
        <v/>
      </c>
      <c r="C70" s="864" t="str">
        <f>IF(A70="","",VLOOKUP(A70,'[3]Optional Calls'!A$1:D$65536,4,FALSE))</f>
        <v/>
      </c>
      <c r="D70" s="863" t="str">
        <f>IF(SUM(K70:$K$100)=0,"",SUM(K70:$K$100))</f>
        <v/>
      </c>
      <c r="E70" s="799" t="str">
        <f t="shared" si="5"/>
        <v/>
      </c>
      <c r="F70" s="799"/>
      <c r="G70" s="799" t="str">
        <f>IF(A70="","",SUM(E69:E70))</f>
        <v/>
      </c>
      <c r="H70" s="799" t="str">
        <f t="shared" si="9"/>
        <v/>
      </c>
      <c r="I70" s="798"/>
      <c r="J70" s="797" t="str">
        <f t="shared" si="6"/>
        <v/>
      </c>
      <c r="K70" s="797" t="str">
        <f t="shared" si="7"/>
        <v/>
      </c>
      <c r="L70" s="794">
        <f>MAX(F70:$F$100)</f>
        <v>0</v>
      </c>
      <c r="M70" s="794">
        <f>MAX(G70:$G$100)</f>
        <v>0</v>
      </c>
    </row>
    <row r="71" spans="1:13" ht="12" customHeight="1" x14ac:dyDescent="0.2">
      <c r="A71" s="803" t="str">
        <f t="shared" si="8"/>
        <v/>
      </c>
      <c r="B71" s="865" t="str">
        <f>IF(A71="","",VLOOKUP(A71,'[3]Optional Calls'!A$1:D$65536,2,FALSE))</f>
        <v/>
      </c>
      <c r="C71" s="864" t="str">
        <f>IF(A71="","",VLOOKUP(A71,'[3]Optional Calls'!A$1:D$65536,4,FALSE))</f>
        <v/>
      </c>
      <c r="D71" s="863" t="str">
        <f>IF(SUM(K71:$K$100)=0,"",SUM(K71:$K$100))</f>
        <v/>
      </c>
      <c r="E71" s="799" t="str">
        <f t="shared" si="5"/>
        <v/>
      </c>
      <c r="F71" s="799" t="str">
        <f>IF(A71="","",SUM(E70:E71))</f>
        <v/>
      </c>
      <c r="G71" s="799" t="s">
        <v>409</v>
      </c>
      <c r="H71" s="799" t="str">
        <f t="shared" si="9"/>
        <v/>
      </c>
      <c r="I71" s="798"/>
      <c r="J71" s="797" t="str">
        <f t="shared" si="6"/>
        <v/>
      </c>
      <c r="K71" s="797" t="str">
        <f t="shared" si="7"/>
        <v/>
      </c>
      <c r="L71" s="794">
        <f>MAX(F71:$F$100)</f>
        <v>0</v>
      </c>
      <c r="M71" s="794">
        <f>MAX(G71:$G$100)</f>
        <v>0</v>
      </c>
    </row>
    <row r="72" spans="1:13" ht="12" customHeight="1" x14ac:dyDescent="0.2">
      <c r="A72" s="803" t="str">
        <f t="shared" si="8"/>
        <v/>
      </c>
      <c r="B72" s="865" t="str">
        <f>IF(A72="","",VLOOKUP(A72,'[3]Optional Calls'!A$1:D$65536,2,FALSE))</f>
        <v/>
      </c>
      <c r="C72" s="864" t="str">
        <f>IF(A72="","",VLOOKUP(A72,'[3]Optional Calls'!A$1:D$65536,4,FALSE))</f>
        <v/>
      </c>
      <c r="D72" s="863" t="str">
        <f>IF(SUM(K72:$K$100)=0,"",SUM(K72:$K$100))</f>
        <v/>
      </c>
      <c r="E72" s="799" t="str">
        <f t="shared" si="5"/>
        <v/>
      </c>
      <c r="F72" s="799"/>
      <c r="G72" s="799" t="str">
        <f>IF(A72="","",SUM(E71:E72))</f>
        <v/>
      </c>
      <c r="H72" s="799" t="str">
        <f t="shared" si="9"/>
        <v/>
      </c>
      <c r="I72" s="798"/>
      <c r="J72" s="797" t="str">
        <f t="shared" si="6"/>
        <v/>
      </c>
      <c r="K72" s="797" t="str">
        <f t="shared" si="7"/>
        <v/>
      </c>
      <c r="L72" s="794">
        <f>MAX(F72:$F$100)</f>
        <v>0</v>
      </c>
      <c r="M72" s="794">
        <f>MAX(G72:$G$100)</f>
        <v>0</v>
      </c>
    </row>
    <row r="73" spans="1:13" ht="12" customHeight="1" x14ac:dyDescent="0.2">
      <c r="A73" s="803" t="str">
        <f t="shared" si="8"/>
        <v/>
      </c>
      <c r="B73" s="865" t="str">
        <f>IF(A73="","",VLOOKUP(A73,'[3]Optional Calls'!A$1:D$65536,2,FALSE))</f>
        <v/>
      </c>
      <c r="C73" s="864" t="str">
        <f>IF(A73="","",VLOOKUP(A73,'[3]Optional Calls'!A$1:D$65536,4,FALSE))</f>
        <v/>
      </c>
      <c r="D73" s="863" t="str">
        <f>IF(SUM(K73:$K$100)=0,"",SUM(K73:$K$100))</f>
        <v/>
      </c>
      <c r="E73" s="799" t="str">
        <f t="shared" si="5"/>
        <v/>
      </c>
      <c r="F73" s="799" t="str">
        <f>IF(A73="","",SUM(E72:E73))</f>
        <v/>
      </c>
      <c r="G73" s="799" t="s">
        <v>409</v>
      </c>
      <c r="H73" s="799" t="str">
        <f t="shared" si="9"/>
        <v/>
      </c>
      <c r="I73" s="798"/>
      <c r="J73" s="797" t="str">
        <f t="shared" si="6"/>
        <v/>
      </c>
      <c r="K73" s="797" t="str">
        <f t="shared" si="7"/>
        <v/>
      </c>
      <c r="L73" s="794">
        <f>MAX(F73:$F$100)</f>
        <v>0</v>
      </c>
      <c r="M73" s="794">
        <f>MAX(G73:$G$100)</f>
        <v>0</v>
      </c>
    </row>
    <row r="74" spans="1:13" ht="12" customHeight="1" x14ac:dyDescent="0.2">
      <c r="A74" s="803" t="str">
        <f t="shared" si="8"/>
        <v/>
      </c>
      <c r="B74" s="865" t="str">
        <f>IF(A74="","",VLOOKUP(A74,'[3]Optional Calls'!A$1:D$65536,2,FALSE))</f>
        <v/>
      </c>
      <c r="C74" s="864" t="str">
        <f>IF(A74="","",VLOOKUP(A74,'[3]Optional Calls'!A$1:D$65536,4,FALSE))</f>
        <v/>
      </c>
      <c r="D74" s="863" t="str">
        <f>IF(SUM(K74:$K$100)=0,"",SUM(K74:$K$100))</f>
        <v/>
      </c>
      <c r="E74" s="799" t="str">
        <f t="shared" si="5"/>
        <v/>
      </c>
      <c r="F74" s="799"/>
      <c r="G74" s="799" t="str">
        <f>IF(A74="","",SUM(E73:E74))</f>
        <v/>
      </c>
      <c r="H74" s="799" t="str">
        <f t="shared" si="9"/>
        <v/>
      </c>
      <c r="I74" s="798"/>
      <c r="J74" s="797" t="str">
        <f t="shared" si="6"/>
        <v/>
      </c>
      <c r="K74" s="797" t="str">
        <f t="shared" si="7"/>
        <v/>
      </c>
      <c r="L74" s="794">
        <f>MAX(F74:$F$100)</f>
        <v>0</v>
      </c>
      <c r="M74" s="794">
        <f>MAX(G74:$G$100)</f>
        <v>0</v>
      </c>
    </row>
    <row r="75" spans="1:13" ht="12" customHeight="1" x14ac:dyDescent="0.2">
      <c r="A75" s="803" t="str">
        <f t="shared" si="8"/>
        <v/>
      </c>
      <c r="B75" s="865" t="str">
        <f>IF(A75="","",VLOOKUP(A75,'[3]Optional Calls'!A$1:D$65536,2,FALSE))</f>
        <v/>
      </c>
      <c r="C75" s="864" t="str">
        <f>IF(A75="","",VLOOKUP(A75,'[3]Optional Calls'!A$1:D$65536,4,FALSE))</f>
        <v/>
      </c>
      <c r="D75" s="863" t="str">
        <f>IF(SUM(K75:$K$100)=0,"",SUM(K75:$K$100))</f>
        <v/>
      </c>
      <c r="E75" s="799" t="str">
        <f t="shared" si="5"/>
        <v/>
      </c>
      <c r="F75" s="799" t="str">
        <f>IF(A75="","",SUM(E74:E75))</f>
        <v/>
      </c>
      <c r="G75" s="799" t="s">
        <v>409</v>
      </c>
      <c r="H75" s="799" t="str">
        <f t="shared" si="9"/>
        <v/>
      </c>
      <c r="I75" s="798"/>
      <c r="J75" s="797" t="str">
        <f t="shared" si="6"/>
        <v/>
      </c>
      <c r="K75" s="797" t="str">
        <f t="shared" si="7"/>
        <v/>
      </c>
      <c r="L75" s="794">
        <f>MAX(F75:$F$100)</f>
        <v>0</v>
      </c>
      <c r="M75" s="794">
        <f>MAX(G75:$G$100)</f>
        <v>0</v>
      </c>
    </row>
    <row r="76" spans="1:13" ht="12" customHeight="1" x14ac:dyDescent="0.2">
      <c r="A76" s="803" t="str">
        <f t="shared" si="8"/>
        <v/>
      </c>
      <c r="B76" s="865" t="str">
        <f>IF(A76="","",VLOOKUP(A76,'[3]Optional Calls'!A$1:D$65536,2,FALSE))</f>
        <v/>
      </c>
      <c r="C76" s="864" t="str">
        <f>IF(A76="","",VLOOKUP(A76,'[3]Optional Calls'!A$1:D$65536,4,FALSE))</f>
        <v/>
      </c>
      <c r="D76" s="863" t="str">
        <f>IF(SUM(K76:$K$100)=0,"",SUM(K76:$K$100))</f>
        <v/>
      </c>
      <c r="E76" s="799" t="str">
        <f t="shared" ref="E76:E100" si="10">IF(A76="","",C76+D76)</f>
        <v/>
      </c>
      <c r="F76" s="799"/>
      <c r="G76" s="799" t="str">
        <f>IF(A76="","",SUM(E75:E76))</f>
        <v/>
      </c>
      <c r="H76" s="799" t="str">
        <f t="shared" si="9"/>
        <v/>
      </c>
      <c r="I76" s="798"/>
      <c r="J76" s="797" t="str">
        <f t="shared" ref="J76:J100" si="11">IF(A76="","",C76*B76*DAYS360($C$5,$C$6)/$F$7)</f>
        <v/>
      </c>
      <c r="K76" s="797" t="str">
        <f t="shared" ref="K76:K100" si="12">IF(A76="","",C76*B76/2)</f>
        <v/>
      </c>
      <c r="L76" s="794">
        <f>MAX(F76:$F$100)</f>
        <v>0</v>
      </c>
      <c r="M76" s="794">
        <f>MAX(G76:$G$100)</f>
        <v>0</v>
      </c>
    </row>
    <row r="77" spans="1:13" ht="12" customHeight="1" x14ac:dyDescent="0.2">
      <c r="A77" s="803" t="str">
        <f t="shared" ref="A77:A100" si="13">IF(A76&lt;$C$7,DATE(YEAR(A76),MONTH(A76)+6,DAY(A76)),"")</f>
        <v/>
      </c>
      <c r="B77" s="865" t="str">
        <f>IF(A77="","",VLOOKUP(A77,'[3]Optional Calls'!A$1:D$65536,2,FALSE))</f>
        <v/>
      </c>
      <c r="C77" s="864" t="str">
        <f>IF(A77="","",VLOOKUP(A77,'[3]Optional Calls'!A$1:D$65536,4,FALSE))</f>
        <v/>
      </c>
      <c r="D77" s="863" t="str">
        <f>IF(SUM(K77:$K$100)=0,"",SUM(K77:$K$100))</f>
        <v/>
      </c>
      <c r="E77" s="799" t="str">
        <f t="shared" si="10"/>
        <v/>
      </c>
      <c r="F77" s="799" t="str">
        <f>IF(A77="","",SUM(E76:E77))</f>
        <v/>
      </c>
      <c r="G77" s="799" t="s">
        <v>409</v>
      </c>
      <c r="H77" s="799" t="str">
        <f t="shared" si="9"/>
        <v/>
      </c>
      <c r="I77" s="798"/>
      <c r="J77" s="797" t="str">
        <f t="shared" si="11"/>
        <v/>
      </c>
      <c r="K77" s="797" t="str">
        <f t="shared" si="12"/>
        <v/>
      </c>
      <c r="L77" s="794">
        <f>MAX(F77:$F$100)</f>
        <v>0</v>
      </c>
      <c r="M77" s="794">
        <f>MAX(G77:$G$100)</f>
        <v>0</v>
      </c>
    </row>
    <row r="78" spans="1:13" ht="12" customHeight="1" x14ac:dyDescent="0.2">
      <c r="A78" s="803" t="str">
        <f t="shared" si="13"/>
        <v/>
      </c>
      <c r="B78" s="865" t="str">
        <f>IF(A78="","",VLOOKUP(A78,'[3]Optional Calls'!A$1:D$65536,2,FALSE))</f>
        <v/>
      </c>
      <c r="C78" s="864" t="str">
        <f>IF(A78="","",VLOOKUP(A78,'[3]Optional Calls'!A$1:D$65536,4,FALSE))</f>
        <v/>
      </c>
      <c r="D78" s="863" t="str">
        <f>IF(SUM(K78:$K$100)=0,"",SUM(K78:$K$100))</f>
        <v/>
      </c>
      <c r="E78" s="799" t="str">
        <f t="shared" si="10"/>
        <v/>
      </c>
      <c r="F78" s="799"/>
      <c r="G78" s="799" t="str">
        <f>IF(A78="","",SUM(E77:E78))</f>
        <v/>
      </c>
      <c r="H78" s="799" t="str">
        <f t="shared" ref="H78:H100" si="14">IF(A78="","",H77-C78)</f>
        <v/>
      </c>
      <c r="I78" s="798"/>
      <c r="J78" s="797" t="str">
        <f t="shared" si="11"/>
        <v/>
      </c>
      <c r="K78" s="797" t="str">
        <f t="shared" si="12"/>
        <v/>
      </c>
      <c r="L78" s="794">
        <f>MAX(F78:$F$100)</f>
        <v>0</v>
      </c>
      <c r="M78" s="794">
        <f>MAX(G78:$G$100)</f>
        <v>0</v>
      </c>
    </row>
    <row r="79" spans="1:13" ht="12" customHeight="1" x14ac:dyDescent="0.2">
      <c r="A79" s="803" t="str">
        <f t="shared" si="13"/>
        <v/>
      </c>
      <c r="B79" s="865" t="str">
        <f>IF(A79="","",VLOOKUP(A79,'[3]Optional Calls'!A$1:D$65536,2,FALSE))</f>
        <v/>
      </c>
      <c r="C79" s="864" t="str">
        <f>IF(A79="","",VLOOKUP(A79,'[3]Optional Calls'!A$1:D$65536,4,FALSE))</f>
        <v/>
      </c>
      <c r="D79" s="863" t="str">
        <f>IF(SUM(K79:$K$100)=0,"",SUM(K79:$K$100))</f>
        <v/>
      </c>
      <c r="E79" s="799" t="str">
        <f t="shared" si="10"/>
        <v/>
      </c>
      <c r="F79" s="799" t="str">
        <f>IF(A79="","",SUM(E78:E79))</f>
        <v/>
      </c>
      <c r="G79" s="799" t="s">
        <v>409</v>
      </c>
      <c r="H79" s="799" t="str">
        <f t="shared" si="14"/>
        <v/>
      </c>
      <c r="I79" s="798"/>
      <c r="J79" s="797" t="str">
        <f t="shared" si="11"/>
        <v/>
      </c>
      <c r="K79" s="797" t="str">
        <f t="shared" si="12"/>
        <v/>
      </c>
      <c r="L79" s="794">
        <f>MAX(F79:$F$100)</f>
        <v>0</v>
      </c>
      <c r="M79" s="794">
        <f>MAX(G79:$G$100)</f>
        <v>0</v>
      </c>
    </row>
    <row r="80" spans="1:13" ht="12" customHeight="1" x14ac:dyDescent="0.2">
      <c r="A80" s="803" t="str">
        <f t="shared" si="13"/>
        <v/>
      </c>
      <c r="B80" s="865" t="str">
        <f>IF(A80="","",VLOOKUP(A80,'[3]Optional Calls'!A$1:D$65536,2,FALSE))</f>
        <v/>
      </c>
      <c r="C80" s="864" t="str">
        <f>IF(A80="","",VLOOKUP(A80,'[3]Optional Calls'!A$1:D$65536,4,FALSE))</f>
        <v/>
      </c>
      <c r="D80" s="863" t="str">
        <f>IF(SUM(K80:$K$100)=0,"",SUM(K80:$K$100))</f>
        <v/>
      </c>
      <c r="E80" s="799" t="str">
        <f t="shared" si="10"/>
        <v/>
      </c>
      <c r="F80" s="799"/>
      <c r="G80" s="799" t="str">
        <f>IF(A80="","",SUM(E79:E80))</f>
        <v/>
      </c>
      <c r="H80" s="799" t="str">
        <f t="shared" si="14"/>
        <v/>
      </c>
      <c r="I80" s="798"/>
      <c r="J80" s="797" t="str">
        <f t="shared" si="11"/>
        <v/>
      </c>
      <c r="K80" s="797" t="str">
        <f t="shared" si="12"/>
        <v/>
      </c>
      <c r="L80" s="794">
        <f>MAX(F80:$F$100)</f>
        <v>0</v>
      </c>
      <c r="M80" s="794">
        <f>MAX(G80:$G$100)</f>
        <v>0</v>
      </c>
    </row>
    <row r="81" spans="1:13" ht="12" customHeight="1" x14ac:dyDescent="0.2">
      <c r="A81" s="803" t="str">
        <f t="shared" si="13"/>
        <v/>
      </c>
      <c r="B81" s="865" t="str">
        <f>IF(A81="","",VLOOKUP(A81,'[3]Optional Calls'!A$1:D$65536,2,FALSE))</f>
        <v/>
      </c>
      <c r="C81" s="864" t="str">
        <f>IF(A81="","",VLOOKUP(A81,'[3]Optional Calls'!A$1:D$65536,4,FALSE))</f>
        <v/>
      </c>
      <c r="D81" s="863" t="str">
        <f>IF(SUM(K81:$K$100)=0,"",SUM(K81:$K$100))</f>
        <v/>
      </c>
      <c r="E81" s="799" t="str">
        <f t="shared" si="10"/>
        <v/>
      </c>
      <c r="F81" s="799" t="str">
        <f>IF(A81="","",SUM(E80:E81))</f>
        <v/>
      </c>
      <c r="G81" s="799" t="s">
        <v>409</v>
      </c>
      <c r="H81" s="799" t="str">
        <f t="shared" si="14"/>
        <v/>
      </c>
      <c r="I81" s="798"/>
      <c r="J81" s="797" t="str">
        <f t="shared" si="11"/>
        <v/>
      </c>
      <c r="K81" s="797" t="str">
        <f t="shared" si="12"/>
        <v/>
      </c>
      <c r="L81" s="794">
        <f>MAX(F81:$F$100)</f>
        <v>0</v>
      </c>
      <c r="M81" s="794">
        <f>MAX(G81:$G$100)</f>
        <v>0</v>
      </c>
    </row>
    <row r="82" spans="1:13" ht="12" customHeight="1" x14ac:dyDescent="0.2">
      <c r="A82" s="803" t="str">
        <f t="shared" si="13"/>
        <v/>
      </c>
      <c r="B82" s="865" t="str">
        <f>IF(A82="","",VLOOKUP(A82,'[3]Optional Calls'!A$1:D$65536,2,FALSE))</f>
        <v/>
      </c>
      <c r="C82" s="864" t="str">
        <f>IF(A82="","",VLOOKUP(A82,'[3]Optional Calls'!A$1:D$65536,4,FALSE))</f>
        <v/>
      </c>
      <c r="D82" s="863" t="str">
        <f>IF(SUM(K82:$K$100)=0,"",SUM(K82:$K$100))</f>
        <v/>
      </c>
      <c r="E82" s="799" t="str">
        <f t="shared" si="10"/>
        <v/>
      </c>
      <c r="F82" s="799"/>
      <c r="G82" s="799" t="str">
        <f>IF(A82="","",SUM(E81:E82))</f>
        <v/>
      </c>
      <c r="H82" s="799" t="str">
        <f t="shared" si="14"/>
        <v/>
      </c>
      <c r="I82" s="798"/>
      <c r="J82" s="797" t="str">
        <f t="shared" si="11"/>
        <v/>
      </c>
      <c r="K82" s="797" t="str">
        <f t="shared" si="12"/>
        <v/>
      </c>
      <c r="L82" s="794">
        <f>MAX(F82:$F$100)</f>
        <v>0</v>
      </c>
      <c r="M82" s="794">
        <f>MAX(G82:$G$100)</f>
        <v>0</v>
      </c>
    </row>
    <row r="83" spans="1:13" ht="12" customHeight="1" x14ac:dyDescent="0.2">
      <c r="A83" s="803" t="str">
        <f t="shared" si="13"/>
        <v/>
      </c>
      <c r="B83" s="865" t="str">
        <f>IF(A83="","",VLOOKUP(A83,'[3]Optional Calls'!A$1:D$65536,2,FALSE))</f>
        <v/>
      </c>
      <c r="C83" s="864" t="str">
        <f>IF(A83="","",VLOOKUP(A83,'[3]Optional Calls'!A$1:D$65536,4,FALSE))</f>
        <v/>
      </c>
      <c r="D83" s="863" t="str">
        <f>IF(SUM(K83:$K$100)=0,"",SUM(K83:$K$100))</f>
        <v/>
      </c>
      <c r="E83" s="799" t="str">
        <f t="shared" si="10"/>
        <v/>
      </c>
      <c r="F83" s="799" t="str">
        <f>IF(A83="","",SUM(E82:E83))</f>
        <v/>
      </c>
      <c r="G83" s="799" t="s">
        <v>409</v>
      </c>
      <c r="H83" s="799" t="str">
        <f t="shared" si="14"/>
        <v/>
      </c>
      <c r="I83" s="798"/>
      <c r="J83" s="797" t="str">
        <f t="shared" si="11"/>
        <v/>
      </c>
      <c r="K83" s="797" t="str">
        <f t="shared" si="12"/>
        <v/>
      </c>
      <c r="L83" s="794">
        <f>MAX(F83:$F$100)</f>
        <v>0</v>
      </c>
      <c r="M83" s="794">
        <f>MAX(G83:$G$100)</f>
        <v>0</v>
      </c>
    </row>
    <row r="84" spans="1:13" ht="12" customHeight="1" x14ac:dyDescent="0.2">
      <c r="A84" s="803" t="str">
        <f t="shared" si="13"/>
        <v/>
      </c>
      <c r="B84" s="865" t="str">
        <f>IF(A84="","",VLOOKUP(A84,'[3]Optional Calls'!A$1:D$65536,2,FALSE))</f>
        <v/>
      </c>
      <c r="C84" s="864" t="str">
        <f>IF(A84="","",VLOOKUP(A84,'[3]Optional Calls'!A$1:D$65536,4,FALSE))</f>
        <v/>
      </c>
      <c r="D84" s="863" t="str">
        <f>IF(SUM(K84:$K$100)=0,"",SUM(K84:$K$100))</f>
        <v/>
      </c>
      <c r="E84" s="799" t="str">
        <f t="shared" si="10"/>
        <v/>
      </c>
      <c r="F84" s="799"/>
      <c r="G84" s="799" t="str">
        <f>IF(A84="","",SUM(E83:E84))</f>
        <v/>
      </c>
      <c r="H84" s="799" t="str">
        <f t="shared" si="14"/>
        <v/>
      </c>
      <c r="I84" s="798"/>
      <c r="J84" s="797" t="str">
        <f t="shared" si="11"/>
        <v/>
      </c>
      <c r="K84" s="797" t="str">
        <f t="shared" si="12"/>
        <v/>
      </c>
      <c r="L84" s="794">
        <f>MAX(F84:$F$100)</f>
        <v>0</v>
      </c>
      <c r="M84" s="794">
        <f>MAX(G84:$G$100)</f>
        <v>0</v>
      </c>
    </row>
    <row r="85" spans="1:13" ht="12" customHeight="1" x14ac:dyDescent="0.2">
      <c r="A85" s="803" t="str">
        <f t="shared" si="13"/>
        <v/>
      </c>
      <c r="B85" s="865" t="str">
        <f>IF(A85="","",VLOOKUP(A85,'[3]Optional Calls'!A$1:D$65536,2,FALSE))</f>
        <v/>
      </c>
      <c r="C85" s="864" t="str">
        <f>IF(A85="","",VLOOKUP(A85,'[3]Optional Calls'!A$1:D$65536,4,FALSE))</f>
        <v/>
      </c>
      <c r="D85" s="863" t="str">
        <f>IF(SUM(K85:$K$100)=0,"",SUM(K85:$K$100))</f>
        <v/>
      </c>
      <c r="E85" s="799" t="str">
        <f t="shared" si="10"/>
        <v/>
      </c>
      <c r="F85" s="799" t="str">
        <f>IF(A85="","",SUM(E84:E85))</f>
        <v/>
      </c>
      <c r="G85" s="799" t="s">
        <v>409</v>
      </c>
      <c r="H85" s="799" t="str">
        <f t="shared" si="14"/>
        <v/>
      </c>
      <c r="I85" s="798"/>
      <c r="J85" s="797" t="str">
        <f t="shared" si="11"/>
        <v/>
      </c>
      <c r="K85" s="797" t="str">
        <f t="shared" si="12"/>
        <v/>
      </c>
      <c r="L85" s="794">
        <f>MAX(F85:$F$100)</f>
        <v>0</v>
      </c>
      <c r="M85" s="794">
        <f>MAX(G85:$G$100)</f>
        <v>0</v>
      </c>
    </row>
    <row r="86" spans="1:13" ht="12" customHeight="1" x14ac:dyDescent="0.2">
      <c r="A86" s="803" t="str">
        <f t="shared" si="13"/>
        <v/>
      </c>
      <c r="B86" s="865" t="str">
        <f>IF(A86="","",VLOOKUP(A86,'[3]Optional Calls'!A$1:D$65536,2,FALSE))</f>
        <v/>
      </c>
      <c r="C86" s="864" t="str">
        <f>IF(A86="","",VLOOKUP(A86,'[3]Optional Calls'!A$1:D$65536,4,FALSE))</f>
        <v/>
      </c>
      <c r="D86" s="863" t="str">
        <f>IF(SUM(K86:$K$100)=0,"",SUM(K86:$K$100))</f>
        <v/>
      </c>
      <c r="E86" s="799" t="str">
        <f t="shared" si="10"/>
        <v/>
      </c>
      <c r="F86" s="799"/>
      <c r="G86" s="799" t="str">
        <f>IF(A86="","",SUM(E85:E86))</f>
        <v/>
      </c>
      <c r="H86" s="799" t="str">
        <f t="shared" si="14"/>
        <v/>
      </c>
      <c r="I86" s="798"/>
      <c r="J86" s="797" t="str">
        <f t="shared" si="11"/>
        <v/>
      </c>
      <c r="K86" s="797" t="str">
        <f t="shared" si="12"/>
        <v/>
      </c>
      <c r="L86" s="794">
        <f>MAX(F86:$F$100)</f>
        <v>0</v>
      </c>
      <c r="M86" s="794">
        <f>MAX(G86:$G$100)</f>
        <v>0</v>
      </c>
    </row>
    <row r="87" spans="1:13" ht="12" customHeight="1" x14ac:dyDescent="0.2">
      <c r="A87" s="803" t="str">
        <f t="shared" si="13"/>
        <v/>
      </c>
      <c r="B87" s="865" t="str">
        <f>IF(A87="","",VLOOKUP(A87,'[3]Optional Calls'!A$1:D$65536,2,FALSE))</f>
        <v/>
      </c>
      <c r="C87" s="864" t="str">
        <f>IF(A87="","",VLOOKUP(A87,'[3]Optional Calls'!A$1:D$65536,4,FALSE))</f>
        <v/>
      </c>
      <c r="D87" s="863" t="str">
        <f>IF(SUM(K87:$K$100)=0,"",SUM(K87:$K$100))</f>
        <v/>
      </c>
      <c r="E87" s="799" t="str">
        <f t="shared" si="10"/>
        <v/>
      </c>
      <c r="F87" s="799" t="str">
        <f>IF(A87="","",SUM(E86:E87))</f>
        <v/>
      </c>
      <c r="G87" s="799" t="s">
        <v>409</v>
      </c>
      <c r="H87" s="799" t="str">
        <f t="shared" si="14"/>
        <v/>
      </c>
      <c r="I87" s="798"/>
      <c r="J87" s="797" t="str">
        <f t="shared" si="11"/>
        <v/>
      </c>
      <c r="K87" s="797" t="str">
        <f t="shared" si="12"/>
        <v/>
      </c>
      <c r="L87" s="794">
        <f>MAX(F87:$F$100)</f>
        <v>0</v>
      </c>
      <c r="M87" s="794">
        <f>MAX(G87:$G$100)</f>
        <v>0</v>
      </c>
    </row>
    <row r="88" spans="1:13" ht="12" customHeight="1" x14ac:dyDescent="0.2">
      <c r="A88" s="803" t="str">
        <f t="shared" si="13"/>
        <v/>
      </c>
      <c r="B88" s="865" t="str">
        <f>IF(A88="","",VLOOKUP(A88,'[3]Optional Calls'!A$1:D$65536,2,FALSE))</f>
        <v/>
      </c>
      <c r="C88" s="864" t="str">
        <f>IF(A88="","",VLOOKUP(A88,'[3]Optional Calls'!A$1:D$65536,4,FALSE))</f>
        <v/>
      </c>
      <c r="D88" s="863" t="str">
        <f>IF(SUM(K88:$K$100)=0,"",SUM(K88:$K$100))</f>
        <v/>
      </c>
      <c r="E88" s="799" t="str">
        <f t="shared" si="10"/>
        <v/>
      </c>
      <c r="F88" s="799"/>
      <c r="G88" s="799" t="str">
        <f>IF(A88="","",SUM(E87:E88))</f>
        <v/>
      </c>
      <c r="H88" s="799" t="str">
        <f t="shared" si="14"/>
        <v/>
      </c>
      <c r="I88" s="798"/>
      <c r="J88" s="797" t="str">
        <f t="shared" si="11"/>
        <v/>
      </c>
      <c r="K88" s="797" t="str">
        <f t="shared" si="12"/>
        <v/>
      </c>
      <c r="L88" s="794">
        <f>MAX(F88:$F$100)</f>
        <v>0</v>
      </c>
      <c r="M88" s="794">
        <f>MAX(G88:$G$100)</f>
        <v>0</v>
      </c>
    </row>
    <row r="89" spans="1:13" ht="12" customHeight="1" x14ac:dyDescent="0.2">
      <c r="A89" s="803" t="str">
        <f t="shared" si="13"/>
        <v/>
      </c>
      <c r="B89" s="865" t="str">
        <f>IF(A89="","",VLOOKUP(A89,'[3]Optional Calls'!A$1:D$65536,2,FALSE))</f>
        <v/>
      </c>
      <c r="C89" s="864" t="str">
        <f>IF(A89="","",VLOOKUP(A89,'[3]Optional Calls'!A$1:D$65536,4,FALSE))</f>
        <v/>
      </c>
      <c r="D89" s="863" t="str">
        <f>IF(SUM(K89:$K$100)=0,"",SUM(K89:$K$100))</f>
        <v/>
      </c>
      <c r="E89" s="799" t="str">
        <f t="shared" si="10"/>
        <v/>
      </c>
      <c r="F89" s="799" t="str">
        <f>IF(A89="","",SUM(E88:E89))</f>
        <v/>
      </c>
      <c r="G89" s="799" t="s">
        <v>409</v>
      </c>
      <c r="H89" s="799" t="str">
        <f t="shared" si="14"/>
        <v/>
      </c>
      <c r="I89" s="798"/>
      <c r="J89" s="797" t="str">
        <f t="shared" si="11"/>
        <v/>
      </c>
      <c r="K89" s="797" t="str">
        <f t="shared" si="12"/>
        <v/>
      </c>
      <c r="L89" s="794">
        <f>MAX(F89:$F$100)</f>
        <v>0</v>
      </c>
      <c r="M89" s="794">
        <f>MAX(G89:$G$100)</f>
        <v>0</v>
      </c>
    </row>
    <row r="90" spans="1:13" ht="12" customHeight="1" x14ac:dyDescent="0.2">
      <c r="A90" s="803" t="str">
        <f t="shared" si="13"/>
        <v/>
      </c>
      <c r="B90" s="865" t="str">
        <f>IF(A90="","",VLOOKUP(A90,'[3]Optional Calls'!A$1:D$65536,2,FALSE))</f>
        <v/>
      </c>
      <c r="C90" s="864" t="str">
        <f>IF(A90="","",VLOOKUP(A90,'[3]Optional Calls'!A$1:D$65536,4,FALSE))</f>
        <v/>
      </c>
      <c r="D90" s="863" t="str">
        <f>IF(SUM(K90:$K$100)=0,"",SUM(K90:$K$100))</f>
        <v/>
      </c>
      <c r="E90" s="799" t="str">
        <f t="shared" si="10"/>
        <v/>
      </c>
      <c r="F90" s="799"/>
      <c r="G90" s="799" t="str">
        <f>IF(A90="","",SUM(E89:E90))</f>
        <v/>
      </c>
      <c r="H90" s="799" t="str">
        <f t="shared" si="14"/>
        <v/>
      </c>
      <c r="I90" s="798"/>
      <c r="J90" s="797" t="str">
        <f t="shared" si="11"/>
        <v/>
      </c>
      <c r="K90" s="797" t="str">
        <f t="shared" si="12"/>
        <v/>
      </c>
      <c r="L90" s="794">
        <f>MAX(F90:$F$100)</f>
        <v>0</v>
      </c>
      <c r="M90" s="794">
        <f>MAX(G90:$G$100)</f>
        <v>0</v>
      </c>
    </row>
    <row r="91" spans="1:13" ht="12" customHeight="1" x14ac:dyDescent="0.2">
      <c r="A91" s="803" t="str">
        <f t="shared" si="13"/>
        <v/>
      </c>
      <c r="B91" s="865" t="str">
        <f>IF(A91="","",VLOOKUP(A91,'[3]Optional Calls'!A$1:D$65536,2,FALSE))</f>
        <v/>
      </c>
      <c r="C91" s="864" t="str">
        <f>IF(A91="","",VLOOKUP(A91,'[3]Optional Calls'!A$1:D$65536,4,FALSE))</f>
        <v/>
      </c>
      <c r="D91" s="863" t="str">
        <f>IF(SUM(K91:$K$100)=0,"",SUM(K91:$K$100))</f>
        <v/>
      </c>
      <c r="E91" s="799" t="str">
        <f t="shared" si="10"/>
        <v/>
      </c>
      <c r="F91" s="799" t="str">
        <f>IF(A91="","",SUM(E90:E91))</f>
        <v/>
      </c>
      <c r="G91" s="799" t="s">
        <v>409</v>
      </c>
      <c r="H91" s="799" t="str">
        <f t="shared" si="14"/>
        <v/>
      </c>
      <c r="I91" s="798"/>
      <c r="J91" s="797" t="str">
        <f t="shared" si="11"/>
        <v/>
      </c>
      <c r="K91" s="797" t="str">
        <f t="shared" si="12"/>
        <v/>
      </c>
      <c r="L91" s="794">
        <f>MAX(F91:$F$100)</f>
        <v>0</v>
      </c>
      <c r="M91" s="794">
        <f>MAX(G91:$G$100)</f>
        <v>0</v>
      </c>
    </row>
    <row r="92" spans="1:13" ht="12" customHeight="1" x14ac:dyDescent="0.2">
      <c r="A92" s="803" t="str">
        <f t="shared" si="13"/>
        <v/>
      </c>
      <c r="B92" s="865" t="str">
        <f>IF(A92="","",VLOOKUP(A92,'[3]Optional Calls'!A$1:D$65536,2,FALSE))</f>
        <v/>
      </c>
      <c r="C92" s="864" t="str">
        <f>IF(A92="","",VLOOKUP(A92,'[3]Optional Calls'!A$1:D$65536,4,FALSE))</f>
        <v/>
      </c>
      <c r="D92" s="863" t="str">
        <f>IF(SUM(K92:$K$100)=0,"",SUM(K92:$K$100))</f>
        <v/>
      </c>
      <c r="E92" s="799" t="str">
        <f t="shared" si="10"/>
        <v/>
      </c>
      <c r="F92" s="799"/>
      <c r="G92" s="799" t="str">
        <f>IF(A92="","",SUM(E91:E92))</f>
        <v/>
      </c>
      <c r="H92" s="799" t="str">
        <f t="shared" si="14"/>
        <v/>
      </c>
      <c r="I92" s="798"/>
      <c r="J92" s="797" t="str">
        <f t="shared" si="11"/>
        <v/>
      </c>
      <c r="K92" s="797" t="str">
        <f t="shared" si="12"/>
        <v/>
      </c>
      <c r="L92" s="794">
        <f>MAX(F92:$F$100)</f>
        <v>0</v>
      </c>
      <c r="M92" s="794">
        <f>MAX(G92:$G$100)</f>
        <v>0</v>
      </c>
    </row>
    <row r="93" spans="1:13" ht="12" customHeight="1" x14ac:dyDescent="0.2">
      <c r="A93" s="803" t="str">
        <f t="shared" si="13"/>
        <v/>
      </c>
      <c r="B93" s="865" t="str">
        <f>IF(A93="","",VLOOKUP(A93,'[3]Optional Calls'!A$1:D$65536,2,FALSE))</f>
        <v/>
      </c>
      <c r="C93" s="864" t="str">
        <f>IF(A93="","",VLOOKUP(A93,'[3]Optional Calls'!A$1:D$65536,4,FALSE))</f>
        <v/>
      </c>
      <c r="D93" s="863" t="str">
        <f>IF(SUM(K93:$K$100)=0,"",SUM(K93:$K$100))</f>
        <v/>
      </c>
      <c r="E93" s="799" t="str">
        <f t="shared" si="10"/>
        <v/>
      </c>
      <c r="F93" s="799" t="str">
        <f>IF(A93="","",SUM(E92:E93))</f>
        <v/>
      </c>
      <c r="G93" s="799" t="s">
        <v>409</v>
      </c>
      <c r="H93" s="799" t="str">
        <f t="shared" si="14"/>
        <v/>
      </c>
      <c r="I93" s="798"/>
      <c r="J93" s="797" t="str">
        <f t="shared" si="11"/>
        <v/>
      </c>
      <c r="K93" s="797" t="str">
        <f t="shared" si="12"/>
        <v/>
      </c>
      <c r="L93" s="794">
        <f>MAX(F93:$F$100)</f>
        <v>0</v>
      </c>
      <c r="M93" s="794">
        <f>MAX(G93:$G$100)</f>
        <v>0</v>
      </c>
    </row>
    <row r="94" spans="1:13" ht="12" customHeight="1" x14ac:dyDescent="0.2">
      <c r="A94" s="803" t="str">
        <f t="shared" si="13"/>
        <v/>
      </c>
      <c r="B94" s="865" t="str">
        <f>IF(A94="","",VLOOKUP(A94,'[3]Optional Calls'!A$1:D$65536,2,FALSE))</f>
        <v/>
      </c>
      <c r="C94" s="864" t="str">
        <f>IF(A94="","",VLOOKUP(A94,'[3]Optional Calls'!A$1:D$65536,4,FALSE))</f>
        <v/>
      </c>
      <c r="D94" s="863" t="str">
        <f>IF(SUM(K94:$K$100)=0,"",SUM(K94:$K$100))</f>
        <v/>
      </c>
      <c r="E94" s="799" t="str">
        <f t="shared" si="10"/>
        <v/>
      </c>
      <c r="F94" s="799"/>
      <c r="G94" s="799" t="str">
        <f>IF(A94="","",SUM(E93:E94))</f>
        <v/>
      </c>
      <c r="H94" s="799" t="str">
        <f t="shared" si="14"/>
        <v/>
      </c>
      <c r="I94" s="798"/>
      <c r="J94" s="797" t="str">
        <f t="shared" si="11"/>
        <v/>
      </c>
      <c r="K94" s="797" t="str">
        <f t="shared" si="12"/>
        <v/>
      </c>
      <c r="L94" s="794">
        <f>MAX(F94:$F$100)</f>
        <v>0</v>
      </c>
      <c r="M94" s="794">
        <f>MAX(G94:$G$100)</f>
        <v>0</v>
      </c>
    </row>
    <row r="95" spans="1:13" ht="12" customHeight="1" x14ac:dyDescent="0.2">
      <c r="A95" s="803" t="str">
        <f t="shared" si="13"/>
        <v/>
      </c>
      <c r="B95" s="865" t="str">
        <f>IF(A95="","",VLOOKUP(A95,'[3]Optional Calls'!A$1:D$65536,2,FALSE))</f>
        <v/>
      </c>
      <c r="C95" s="864" t="str">
        <f>IF(A95="","",VLOOKUP(A95,'[3]Optional Calls'!A$1:D$65536,4,FALSE))</f>
        <v/>
      </c>
      <c r="D95" s="863" t="str">
        <f>IF(SUM(K95:$K$100)=0,"",SUM(K95:$K$100))</f>
        <v/>
      </c>
      <c r="E95" s="799" t="str">
        <f t="shared" si="10"/>
        <v/>
      </c>
      <c r="F95" s="799" t="str">
        <f>IF(A95="","",SUM(E94:E95))</f>
        <v/>
      </c>
      <c r="G95" s="799" t="s">
        <v>409</v>
      </c>
      <c r="H95" s="799" t="str">
        <f t="shared" si="14"/>
        <v/>
      </c>
      <c r="I95" s="798"/>
      <c r="J95" s="797" t="str">
        <f t="shared" si="11"/>
        <v/>
      </c>
      <c r="K95" s="797" t="str">
        <f t="shared" si="12"/>
        <v/>
      </c>
      <c r="L95" s="794">
        <f>MAX(F95:$F$100)</f>
        <v>0</v>
      </c>
      <c r="M95" s="794">
        <f>MAX(G95:$G$100)</f>
        <v>0</v>
      </c>
    </row>
    <row r="96" spans="1:13" ht="12" customHeight="1" x14ac:dyDescent="0.2">
      <c r="A96" s="803" t="str">
        <f t="shared" si="13"/>
        <v/>
      </c>
      <c r="B96" s="865" t="str">
        <f>IF(A96="","",VLOOKUP(A96,'[3]Optional Calls'!A$1:D$65536,2,FALSE))</f>
        <v/>
      </c>
      <c r="C96" s="864" t="str">
        <f>IF(A96="","",VLOOKUP(A96,'[3]Optional Calls'!A$1:D$65536,4,FALSE))</f>
        <v/>
      </c>
      <c r="D96" s="863" t="str">
        <f>IF(SUM(K96:$K$100)=0,"",SUM(K96:$K$100))</f>
        <v/>
      </c>
      <c r="E96" s="799" t="str">
        <f t="shared" si="10"/>
        <v/>
      </c>
      <c r="F96" s="799"/>
      <c r="G96" s="799" t="str">
        <f>IF(A96="","",SUM(E95:E96))</f>
        <v/>
      </c>
      <c r="H96" s="799" t="str">
        <f t="shared" si="14"/>
        <v/>
      </c>
      <c r="I96" s="798"/>
      <c r="J96" s="797" t="str">
        <f t="shared" si="11"/>
        <v/>
      </c>
      <c r="K96" s="797" t="str">
        <f t="shared" si="12"/>
        <v/>
      </c>
      <c r="L96" s="794">
        <f>MAX(F96:$F$100)</f>
        <v>0</v>
      </c>
      <c r="M96" s="794">
        <f>MAX(G96:$G$100)</f>
        <v>0</v>
      </c>
    </row>
    <row r="97" spans="1:13" ht="12" customHeight="1" x14ac:dyDescent="0.2">
      <c r="A97" s="803" t="str">
        <f t="shared" si="13"/>
        <v/>
      </c>
      <c r="B97" s="865" t="str">
        <f>IF(A97="","",VLOOKUP(A97,'[3]Optional Calls'!A$1:D$65536,2,FALSE))</f>
        <v/>
      </c>
      <c r="C97" s="864" t="str">
        <f>IF(A97="","",VLOOKUP(A97,'[3]Optional Calls'!A$1:D$65536,4,FALSE))</f>
        <v/>
      </c>
      <c r="D97" s="863" t="str">
        <f>IF(SUM(K97:$K$100)=0,"",SUM(K97:$K$100))</f>
        <v/>
      </c>
      <c r="E97" s="799" t="str">
        <f t="shared" si="10"/>
        <v/>
      </c>
      <c r="F97" s="799" t="str">
        <f>IF(A97="","",SUM(E96:E97))</f>
        <v/>
      </c>
      <c r="G97" s="799" t="s">
        <v>409</v>
      </c>
      <c r="H97" s="799" t="str">
        <f t="shared" si="14"/>
        <v/>
      </c>
      <c r="I97" s="798"/>
      <c r="J97" s="797" t="str">
        <f t="shared" si="11"/>
        <v/>
      </c>
      <c r="K97" s="797" t="str">
        <f t="shared" si="12"/>
        <v/>
      </c>
      <c r="L97" s="794">
        <f>MAX(F97:$F$100)</f>
        <v>0</v>
      </c>
      <c r="M97" s="794">
        <f>MAX(G97:$G$100)</f>
        <v>0</v>
      </c>
    </row>
    <row r="98" spans="1:13" ht="12" customHeight="1" x14ac:dyDescent="0.2">
      <c r="A98" s="803" t="str">
        <f t="shared" si="13"/>
        <v/>
      </c>
      <c r="B98" s="865" t="str">
        <f>IF(A98="","",VLOOKUP(A98,'[3]Optional Calls'!A$1:D$65536,2,FALSE))</f>
        <v/>
      </c>
      <c r="C98" s="864" t="str">
        <f>IF(A98="","",VLOOKUP(A98,'[3]Optional Calls'!A$1:D$65536,4,FALSE))</f>
        <v/>
      </c>
      <c r="D98" s="863" t="str">
        <f>IF(SUM(K98:$K$100)=0,"",SUM(K98:$K$100))</f>
        <v/>
      </c>
      <c r="E98" s="799" t="str">
        <f t="shared" si="10"/>
        <v/>
      </c>
      <c r="F98" s="799"/>
      <c r="G98" s="799" t="str">
        <f>IF(A98="","",SUM(E97:E98))</f>
        <v/>
      </c>
      <c r="H98" s="799" t="str">
        <f t="shared" si="14"/>
        <v/>
      </c>
      <c r="I98" s="798"/>
      <c r="J98" s="797" t="str">
        <f t="shared" si="11"/>
        <v/>
      </c>
      <c r="K98" s="797" t="str">
        <f t="shared" si="12"/>
        <v/>
      </c>
      <c r="L98" s="794">
        <f>MAX(F98:$F$100)</f>
        <v>0</v>
      </c>
      <c r="M98" s="794">
        <f>MAX(G98:$G$100)</f>
        <v>0</v>
      </c>
    </row>
    <row r="99" spans="1:13" ht="12" customHeight="1" x14ac:dyDescent="0.2">
      <c r="A99" s="803" t="str">
        <f t="shared" si="13"/>
        <v/>
      </c>
      <c r="B99" s="865" t="str">
        <f>IF(A99="","",VLOOKUP(A99,'[3]Optional Calls'!A$1:D$65536,2,FALSE))</f>
        <v/>
      </c>
      <c r="C99" s="864" t="str">
        <f>IF(A99="","",VLOOKUP(A99,'[3]Optional Calls'!A$1:D$65536,4,FALSE))</f>
        <v/>
      </c>
      <c r="D99" s="863" t="str">
        <f>IF(SUM(K99:$K$100)=0,"",SUM(K99:$K$100))</f>
        <v/>
      </c>
      <c r="E99" s="799" t="str">
        <f t="shared" si="10"/>
        <v/>
      </c>
      <c r="F99" s="799" t="str">
        <f>IF(A99="","",SUM(E98:E99))</f>
        <v/>
      </c>
      <c r="G99" s="799" t="s">
        <v>409</v>
      </c>
      <c r="H99" s="799" t="str">
        <f t="shared" si="14"/>
        <v/>
      </c>
      <c r="I99" s="798"/>
      <c r="J99" s="797" t="str">
        <f t="shared" si="11"/>
        <v/>
      </c>
      <c r="K99" s="797" t="str">
        <f t="shared" si="12"/>
        <v/>
      </c>
      <c r="L99" s="794">
        <f>MAX(F99:$F$100)</f>
        <v>0</v>
      </c>
      <c r="M99" s="794">
        <f>MAX(G99:$G$100)</f>
        <v>0</v>
      </c>
    </row>
    <row r="100" spans="1:13" ht="12" customHeight="1" x14ac:dyDescent="0.2">
      <c r="A100" s="803" t="str">
        <f t="shared" si="13"/>
        <v/>
      </c>
      <c r="B100" s="865" t="str">
        <f>IF(A100="","",VLOOKUP(A100,'[3]Optional Calls'!A$1:D$65536,2,FALSE))</f>
        <v/>
      </c>
      <c r="C100" s="864" t="str">
        <f>IF(A100="","",VLOOKUP(A100,'[3]Optional Calls'!A$1:D$65536,4,FALSE))</f>
        <v/>
      </c>
      <c r="D100" s="863" t="str">
        <f>IF(SUM(K100:$K$100)=0,"",SUM(K100:$K$100))</f>
        <v/>
      </c>
      <c r="E100" s="799" t="str">
        <f t="shared" si="10"/>
        <v/>
      </c>
      <c r="F100" s="799"/>
      <c r="G100" s="799" t="str">
        <f>IF(A100="","",SUM(E99:E100))</f>
        <v/>
      </c>
      <c r="H100" s="799" t="str">
        <f t="shared" si="14"/>
        <v/>
      </c>
      <c r="I100" s="798"/>
      <c r="J100" s="797" t="str">
        <f t="shared" si="11"/>
        <v/>
      </c>
      <c r="K100" s="797" t="str">
        <f t="shared" si="12"/>
        <v/>
      </c>
      <c r="L100" s="794">
        <f>MAX(F100:$F$100)</f>
        <v>0</v>
      </c>
      <c r="M100" s="794">
        <f>MAX(G100:$G$100)</f>
        <v>0</v>
      </c>
    </row>
    <row r="101" spans="1:13" x14ac:dyDescent="0.2">
      <c r="A101" s="793" t="s">
        <v>499</v>
      </c>
      <c r="C101" s="794">
        <f>SUM(C12:C100)</f>
        <v>173000</v>
      </c>
      <c r="D101" s="796">
        <f>SUM(D12:D100)</f>
        <v>6124.8</v>
      </c>
      <c r="E101" s="793"/>
      <c r="F101" s="794">
        <f>SUM(F12:F100)</f>
        <v>179124.8</v>
      </c>
      <c r="G101" s="794">
        <f>SUM(G12:G100)</f>
        <v>119605.6</v>
      </c>
      <c r="H101" s="793"/>
      <c r="I101" s="793"/>
      <c r="J101" s="795"/>
      <c r="K101" s="795"/>
      <c r="L101" s="794"/>
    </row>
    <row r="102" spans="1:13" x14ac:dyDescent="0.2">
      <c r="D102" s="793"/>
      <c r="E102" s="793"/>
      <c r="F102" s="793"/>
      <c r="G102" s="793"/>
      <c r="H102" s="793"/>
      <c r="I102" s="793"/>
      <c r="J102" s="794"/>
      <c r="K102" s="794" t="str">
        <f>IF(A102&gt;0,C102*B73*DAYS360(A102,A103)/$F$7,"")</f>
        <v/>
      </c>
      <c r="L102" s="793"/>
    </row>
  </sheetData>
  <dataValidations count="1">
    <dataValidation type="list" allowBlank="1" showInputMessage="1" showErrorMessage="1" sqref="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xr:uid="{F343B175-F268-4954-9884-1873D41BACCC}">
      <formula1>$L$1:$L$2</formula1>
    </dataValidation>
  </dataValidations>
  <printOptions horizontalCentered="1"/>
  <pageMargins left="0" right="0" top="0.45" bottom="0.25" header="0" footer="0"/>
  <pageSetup scale="90" orientation="portrait" blackAndWhite="1"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FBAF-83CC-4B12-905F-CE7B8A052828}">
  <dimension ref="A1:N48"/>
  <sheetViews>
    <sheetView zoomScale="130" zoomScaleNormal="130" workbookViewId="0">
      <selection activeCell="C14" sqref="C14"/>
    </sheetView>
  </sheetViews>
  <sheetFormatPr defaultRowHeight="15" x14ac:dyDescent="0.25"/>
  <cols>
    <col min="1" max="1" width="8.7109375" bestFit="1" customWidth="1"/>
    <col min="2" max="2" width="10.42578125" customWidth="1"/>
    <col min="3" max="3" width="17.7109375" bestFit="1" customWidth="1"/>
    <col min="4" max="4" width="19.42578125" bestFit="1" customWidth="1"/>
    <col min="5" max="5" width="22.140625" customWidth="1"/>
    <col min="6" max="6" width="13.28515625" bestFit="1" customWidth="1"/>
    <col min="7" max="7" width="12.28515625" bestFit="1" customWidth="1"/>
    <col min="8" max="8" width="17.85546875" bestFit="1" customWidth="1"/>
    <col min="9" max="9" width="12.28515625" bestFit="1" customWidth="1"/>
    <col min="10" max="10" width="15.42578125" bestFit="1" customWidth="1"/>
    <col min="11" max="11" width="13.28515625" bestFit="1" customWidth="1"/>
    <col min="12" max="12" width="11.140625" bestFit="1" customWidth="1"/>
    <col min="13" max="13" width="20.140625" bestFit="1" customWidth="1"/>
    <col min="14" max="14" width="37.5703125" bestFit="1" customWidth="1"/>
  </cols>
  <sheetData>
    <row r="1" spans="1:14" ht="15.75" x14ac:dyDescent="0.25">
      <c r="A1" s="61"/>
      <c r="B1" s="184"/>
      <c r="C1" s="184"/>
      <c r="D1" s="783" t="s">
        <v>484</v>
      </c>
      <c r="E1" s="184"/>
      <c r="F1" s="184"/>
      <c r="G1" s="783"/>
      <c r="H1" s="783"/>
      <c r="I1" s="783"/>
      <c r="J1" s="783"/>
      <c r="K1" s="783"/>
      <c r="L1" s="783"/>
      <c r="M1" s="783"/>
    </row>
    <row r="2" spans="1:14" ht="15.75" x14ac:dyDescent="0.25">
      <c r="A2" s="64"/>
      <c r="B2" s="783"/>
      <c r="C2" s="783" t="s">
        <v>150</v>
      </c>
      <c r="D2" s="784" t="s">
        <v>154</v>
      </c>
      <c r="E2" s="125" t="s">
        <v>176</v>
      </c>
      <c r="F2" s="126" t="s">
        <v>178</v>
      </c>
      <c r="G2" s="784" t="s">
        <v>155</v>
      </c>
      <c r="H2" s="784" t="s">
        <v>156</v>
      </c>
      <c r="I2" s="783" t="s">
        <v>157</v>
      </c>
      <c r="J2" s="783" t="s">
        <v>158</v>
      </c>
      <c r="K2" s="783" t="s">
        <v>159</v>
      </c>
      <c r="L2" s="783" t="s">
        <v>160</v>
      </c>
      <c r="M2" s="783" t="s">
        <v>179</v>
      </c>
    </row>
    <row r="3" spans="1:14" ht="16.5" thickBot="1" x14ac:dyDescent="0.3">
      <c r="A3" s="64" t="s">
        <v>151</v>
      </c>
      <c r="B3" s="783" t="s">
        <v>152</v>
      </c>
      <c r="C3" s="784" t="s">
        <v>153</v>
      </c>
      <c r="D3" s="784"/>
      <c r="E3" s="125"/>
      <c r="F3" s="126"/>
      <c r="G3" s="784"/>
      <c r="H3" s="784"/>
      <c r="I3" s="783"/>
      <c r="J3" s="783"/>
      <c r="K3" s="783"/>
      <c r="L3" s="783"/>
      <c r="M3" s="783"/>
      <c r="N3" s="116"/>
    </row>
    <row r="4" spans="1:14" ht="16.5" thickTop="1" thickBot="1" x14ac:dyDescent="0.3">
      <c r="A4" s="66" t="s">
        <v>161</v>
      </c>
      <c r="B4" s="67">
        <v>27</v>
      </c>
      <c r="C4" s="68">
        <f>C21+D21</f>
        <v>50.309531999999997</v>
      </c>
      <c r="D4" s="130">
        <f>C4*2080</f>
        <v>104643.82656</v>
      </c>
      <c r="E4" s="131">
        <f>C4*1.5*300</f>
        <v>22639.289400000001</v>
      </c>
      <c r="F4" s="131">
        <f>SUM(D4:E4)</f>
        <v>127283.11596</v>
      </c>
      <c r="G4" s="132">
        <f>F4*F14</f>
        <v>23509.191517812</v>
      </c>
      <c r="H4" s="130">
        <f>C14</f>
        <v>22429.68</v>
      </c>
      <c r="I4" s="130">
        <f>F4*B44</f>
        <v>4073.0597107200001</v>
      </c>
      <c r="J4" s="130">
        <f>F4*D14</f>
        <v>7891.5531895199993</v>
      </c>
      <c r="K4" s="130">
        <f>F4*E14</f>
        <v>1845.60518142</v>
      </c>
      <c r="L4" s="130">
        <f>F4*G14</f>
        <v>1654.68050748</v>
      </c>
      <c r="M4" s="133">
        <f>SUM(F4:L4)</f>
        <v>188686.88606695196</v>
      </c>
      <c r="N4" s="116"/>
    </row>
    <row r="5" spans="1:14" ht="16.5" thickTop="1" thickBot="1" x14ac:dyDescent="0.3">
      <c r="A5" s="72" t="s">
        <v>163</v>
      </c>
      <c r="B5" s="112">
        <v>12</v>
      </c>
      <c r="C5" s="113">
        <f>C22+D22</f>
        <v>38.689402000000001</v>
      </c>
      <c r="D5" s="130">
        <f>C5*2080</f>
        <v>80473.956160000002</v>
      </c>
      <c r="E5" s="131">
        <f t="shared" ref="E5:E6" si="0">C5*1.5*300</f>
        <v>17410.230900000002</v>
      </c>
      <c r="F5" s="131">
        <f>SUM(D5:E5)</f>
        <v>97884.187059999997</v>
      </c>
      <c r="G5" s="132">
        <f>F5*F15</f>
        <v>16336.870820314</v>
      </c>
      <c r="H5" s="114">
        <f>C15</f>
        <v>22069.68</v>
      </c>
      <c r="I5" s="130">
        <f>F5*B45</f>
        <v>3132.2939859200001</v>
      </c>
      <c r="J5" s="130">
        <f>F5*D15</f>
        <v>6068.8195977199994</v>
      </c>
      <c r="K5" s="130">
        <f>F5*E15</f>
        <v>1419.3207123699999</v>
      </c>
      <c r="L5" s="130">
        <f>F5*G15</f>
        <v>1272.4944317799998</v>
      </c>
      <c r="M5" s="133">
        <f>SUM(F5:L5)</f>
        <v>148183.66660810402</v>
      </c>
      <c r="N5" s="116"/>
    </row>
    <row r="6" spans="1:14" ht="17.25" thickTop="1" thickBot="1" x14ac:dyDescent="0.3">
      <c r="A6" s="72" t="s">
        <v>485</v>
      </c>
      <c r="B6" s="112">
        <v>1</v>
      </c>
      <c r="C6" s="68">
        <f t="shared" ref="C6:C8" si="1">C23+D23</f>
        <v>30.816380000000002</v>
      </c>
      <c r="D6" s="130">
        <f t="shared" ref="D6:D8" si="2">C6*2080</f>
        <v>64098.070400000004</v>
      </c>
      <c r="E6" s="131">
        <f t="shared" si="0"/>
        <v>13867.370999999999</v>
      </c>
      <c r="F6" s="131">
        <f>SUM(D6:E6)</f>
        <v>77965.441400000011</v>
      </c>
      <c r="G6" s="132">
        <f>F6*F16</f>
        <v>13012.432169660002</v>
      </c>
      <c r="H6" s="130">
        <f t="shared" ref="H6:H8" si="3">C16</f>
        <v>16164</v>
      </c>
      <c r="I6" s="130">
        <f>F6*B46</f>
        <v>2494.8941248000006</v>
      </c>
      <c r="J6" s="130">
        <f>F6*D16</f>
        <v>4833.8573668000008</v>
      </c>
      <c r="K6" s="130">
        <f>F6*E16</f>
        <v>1130.4989003000003</v>
      </c>
      <c r="L6" s="130">
        <f>F6*G16</f>
        <v>1013.5507382000001</v>
      </c>
      <c r="M6" s="133">
        <f>SUM(F6:L6)</f>
        <v>116614.67469976001</v>
      </c>
      <c r="N6" s="147" t="s">
        <v>181</v>
      </c>
    </row>
    <row r="7" spans="1:14" ht="17.25" thickTop="1" thickBot="1" x14ac:dyDescent="0.3">
      <c r="A7" s="72" t="s">
        <v>203</v>
      </c>
      <c r="B7" s="112">
        <v>2</v>
      </c>
      <c r="C7" s="113">
        <f t="shared" si="1"/>
        <v>26.506181999999999</v>
      </c>
      <c r="D7" s="130">
        <f t="shared" si="2"/>
        <v>55132.858560000001</v>
      </c>
      <c r="E7" s="110">
        <v>0</v>
      </c>
      <c r="F7" s="131">
        <f>SUM(D7:E7)</f>
        <v>55132.858560000001</v>
      </c>
      <c r="G7" s="132">
        <f>F7*F17</f>
        <v>9201.6740936639999</v>
      </c>
      <c r="H7" s="114">
        <f t="shared" si="3"/>
        <v>16164</v>
      </c>
      <c r="I7" s="130">
        <f>F7*B47</f>
        <v>1764.2514739200001</v>
      </c>
      <c r="J7" s="130">
        <f>F7*D17</f>
        <v>3418.2372307199998</v>
      </c>
      <c r="K7" s="130">
        <f>F7*E17</f>
        <v>799.42644912000003</v>
      </c>
      <c r="L7" s="130">
        <f>F7*G17</f>
        <v>716.72716128000002</v>
      </c>
      <c r="M7" s="133">
        <f>SUM(F7:L7)</f>
        <v>87197.174968703999</v>
      </c>
      <c r="N7" s="194"/>
    </row>
    <row r="8" spans="1:14" ht="16.5" thickTop="1" thickBot="1" x14ac:dyDescent="0.3">
      <c r="A8" s="785" t="s">
        <v>486</v>
      </c>
      <c r="B8" s="187">
        <v>2</v>
      </c>
      <c r="C8" s="68">
        <f t="shared" si="1"/>
        <v>21.028852000000001</v>
      </c>
      <c r="D8" s="130">
        <f t="shared" si="2"/>
        <v>43740.012159999998</v>
      </c>
      <c r="E8" s="193">
        <v>0</v>
      </c>
      <c r="F8" s="131">
        <f>SUM(D8:E8)</f>
        <v>43740.012159999998</v>
      </c>
      <c r="G8" s="132">
        <f>F8*F18</f>
        <v>7300.2080295039996</v>
      </c>
      <c r="H8" s="130">
        <f t="shared" si="3"/>
        <v>16164</v>
      </c>
      <c r="I8" s="130">
        <f>F8*B48</f>
        <v>1399.68038912</v>
      </c>
      <c r="J8" s="130">
        <f>F8*D18</f>
        <v>2711.8807539199997</v>
      </c>
      <c r="K8" s="130">
        <f>F8*E18</f>
        <v>634.23017632000006</v>
      </c>
      <c r="L8" s="130">
        <f>F8*G18</f>
        <v>568.6201580799999</v>
      </c>
      <c r="M8" s="133">
        <f>SUM(F8:L8)</f>
        <v>72518.631666943998</v>
      </c>
      <c r="N8" s="182"/>
    </row>
    <row r="9" spans="1:14" ht="16.5" thickTop="1" thickBot="1" x14ac:dyDescent="0.3">
      <c r="C9" s="84" t="s">
        <v>125</v>
      </c>
      <c r="D9" s="142">
        <f t="shared" ref="D9:M9" si="4">SUM(D4:D8)</f>
        <v>348088.72383999999</v>
      </c>
      <c r="E9" s="142">
        <f t="shared" si="4"/>
        <v>53916.891300000003</v>
      </c>
      <c r="F9" s="142">
        <f t="shared" si="4"/>
        <v>402005.61514000001</v>
      </c>
      <c r="G9" s="142">
        <f t="shared" si="4"/>
        <v>69360.376630954008</v>
      </c>
      <c r="H9" s="142">
        <f t="shared" si="4"/>
        <v>92991.360000000001</v>
      </c>
      <c r="I9" s="142">
        <f t="shared" si="4"/>
        <v>12864.179684480001</v>
      </c>
      <c r="J9" s="142">
        <f t="shared" si="4"/>
        <v>24924.348138679998</v>
      </c>
      <c r="K9" s="142">
        <f t="shared" si="4"/>
        <v>5829.0814195300009</v>
      </c>
      <c r="L9" s="142">
        <f t="shared" si="4"/>
        <v>5226.0729968199994</v>
      </c>
      <c r="M9" s="181">
        <f t="shared" si="4"/>
        <v>613201.03401046398</v>
      </c>
      <c r="N9" s="790">
        <f>M9+13000</f>
        <v>626201.03401046398</v>
      </c>
    </row>
    <row r="10" spans="1:14" ht="15.75" thickTop="1" x14ac:dyDescent="0.25"/>
    <row r="12" spans="1:14" ht="15.75" x14ac:dyDescent="0.25">
      <c r="A12" s="786"/>
      <c r="B12" s="786"/>
      <c r="C12" s="786"/>
      <c r="J12" s="116"/>
    </row>
    <row r="13" spans="1:14" ht="15.75" x14ac:dyDescent="0.25">
      <c r="A13" s="783"/>
      <c r="B13" s="783" t="s">
        <v>157</v>
      </c>
      <c r="C13" s="783" t="s">
        <v>165</v>
      </c>
      <c r="D13" s="783" t="s">
        <v>158</v>
      </c>
      <c r="E13" s="783" t="s">
        <v>159</v>
      </c>
      <c r="F13" s="783" t="s">
        <v>155</v>
      </c>
      <c r="G13" s="783" t="s">
        <v>160</v>
      </c>
      <c r="H13" s="783" t="s">
        <v>205</v>
      </c>
    </row>
    <row r="14" spans="1:14" x14ac:dyDescent="0.25">
      <c r="A14" s="89" t="s">
        <v>161</v>
      </c>
      <c r="B14" s="90">
        <v>3.2000000000000001E-2</v>
      </c>
      <c r="C14" s="91">
        <f>1869.14*12</f>
        <v>22429.68</v>
      </c>
      <c r="D14" s="90">
        <v>6.2E-2</v>
      </c>
      <c r="E14" s="90">
        <v>1.4500000000000001E-2</v>
      </c>
      <c r="F14" s="90">
        <v>0.1847</v>
      </c>
      <c r="G14" s="90">
        <v>1.2999999999999999E-2</v>
      </c>
      <c r="H14" s="90">
        <f>SUM(D14:G14)+B44</f>
        <v>0.30620000000000003</v>
      </c>
    </row>
    <row r="15" spans="1:14" x14ac:dyDescent="0.25">
      <c r="A15" s="89" t="s">
        <v>485</v>
      </c>
      <c r="B15" s="90">
        <v>3.2000000000000001E-2</v>
      </c>
      <c r="C15" s="91">
        <f>1839.14*12</f>
        <v>22069.68</v>
      </c>
      <c r="D15" s="90">
        <v>6.2E-2</v>
      </c>
      <c r="E15" s="90">
        <v>1.4500000000000001E-2</v>
      </c>
      <c r="F15" s="90">
        <v>0.16689999999999999</v>
      </c>
      <c r="G15" s="90">
        <v>1.2999999999999999E-2</v>
      </c>
      <c r="H15" s="90">
        <f>SUM(D15:G15)+B45</f>
        <v>0.28839999999999999</v>
      </c>
    </row>
    <row r="16" spans="1:14" x14ac:dyDescent="0.25">
      <c r="A16" s="89" t="s">
        <v>163</v>
      </c>
      <c r="B16" s="90">
        <v>4.9799999999999997E-2</v>
      </c>
      <c r="C16" s="91">
        <f>1347*12</f>
        <v>16164</v>
      </c>
      <c r="D16" s="90">
        <v>6.2E-2</v>
      </c>
      <c r="E16" s="90">
        <v>1.4500000000000001E-2</v>
      </c>
      <c r="F16" s="90">
        <v>0.16689999999999999</v>
      </c>
      <c r="G16" s="90">
        <v>1.2999999999999999E-2</v>
      </c>
      <c r="H16" s="90">
        <f>SUM(D16:G16)+B46</f>
        <v>0.28839999999999999</v>
      </c>
    </row>
    <row r="17" spans="1:8" x14ac:dyDescent="0.25">
      <c r="A17" s="89" t="s">
        <v>203</v>
      </c>
      <c r="B17" s="90">
        <v>4.9799999999999997E-2</v>
      </c>
      <c r="C17" s="91">
        <f>1347*12</f>
        <v>16164</v>
      </c>
      <c r="D17" s="90">
        <v>6.2E-2</v>
      </c>
      <c r="E17" s="90">
        <v>1.4500000000000001E-2</v>
      </c>
      <c r="F17" s="90">
        <v>0.16689999999999999</v>
      </c>
      <c r="G17" s="90">
        <v>1.2999999999999999E-2</v>
      </c>
      <c r="H17" s="90">
        <f>SUM(D17:G17)+B47</f>
        <v>0.28839999999999999</v>
      </c>
    </row>
    <row r="18" spans="1:8" x14ac:dyDescent="0.25">
      <c r="A18" t="s">
        <v>204</v>
      </c>
      <c r="B18" s="90">
        <v>4.9799999999999997E-2</v>
      </c>
      <c r="C18" s="91">
        <f>1347*12</f>
        <v>16164</v>
      </c>
      <c r="D18" s="90">
        <v>6.2E-2</v>
      </c>
      <c r="E18" s="90">
        <v>1.4500000000000001E-2</v>
      </c>
      <c r="F18" s="90">
        <v>0.16689999999999999</v>
      </c>
      <c r="G18" s="90">
        <v>1.2999999999999999E-2</v>
      </c>
      <c r="H18" s="90">
        <f>SUM(D18:G18)+B48</f>
        <v>0.28839999999999999</v>
      </c>
    </row>
    <row r="19" spans="1:8" ht="15.75" x14ac:dyDescent="0.25">
      <c r="A19" s="64"/>
      <c r="B19" s="783"/>
      <c r="C19" s="783" t="s">
        <v>150</v>
      </c>
    </row>
    <row r="20" spans="1:8" ht="16.5" thickBot="1" x14ac:dyDescent="0.3">
      <c r="A20" s="64" t="s">
        <v>151</v>
      </c>
      <c r="B20" s="783" t="s">
        <v>152</v>
      </c>
      <c r="C20" s="784" t="s">
        <v>153</v>
      </c>
      <c r="D20" t="s">
        <v>487</v>
      </c>
    </row>
    <row r="21" spans="1:8" x14ac:dyDescent="0.25">
      <c r="A21" s="66" t="s">
        <v>161</v>
      </c>
      <c r="B21" s="67">
        <v>27</v>
      </c>
      <c r="C21" s="68">
        <v>49.14</v>
      </c>
      <c r="D21">
        <f>+C21*E27</f>
        <v>1.169532</v>
      </c>
      <c r="E21" s="116">
        <f>SUM(C21:D21)</f>
        <v>50.309531999999997</v>
      </c>
      <c r="G21" s="550"/>
    </row>
    <row r="22" spans="1:8" x14ac:dyDescent="0.25">
      <c r="A22" s="72" t="s">
        <v>163</v>
      </c>
      <c r="B22" s="112">
        <v>12</v>
      </c>
      <c r="C22" s="113">
        <v>37.79</v>
      </c>
      <c r="D22">
        <f>+C22*E27</f>
        <v>0.89940200000000003</v>
      </c>
      <c r="E22" s="116">
        <f>SUM(C22:D22)</f>
        <v>38.689402000000001</v>
      </c>
    </row>
    <row r="23" spans="1:8" x14ac:dyDescent="0.25">
      <c r="A23" s="72" t="s">
        <v>485</v>
      </c>
      <c r="B23" s="112">
        <v>2</v>
      </c>
      <c r="C23" s="113">
        <v>30.1</v>
      </c>
      <c r="D23">
        <f>+C23*E27</f>
        <v>0.71638000000000013</v>
      </c>
      <c r="E23" s="116">
        <f>SUM(C23:D23)</f>
        <v>30.816380000000002</v>
      </c>
    </row>
    <row r="24" spans="1:8" x14ac:dyDescent="0.25">
      <c r="A24" s="72" t="s">
        <v>203</v>
      </c>
      <c r="B24" s="112">
        <v>2</v>
      </c>
      <c r="C24" s="113">
        <v>25.89</v>
      </c>
      <c r="D24">
        <f>+C24*E27</f>
        <v>0.61618200000000001</v>
      </c>
      <c r="E24" s="116">
        <f>SUM(C24:D24)</f>
        <v>26.506181999999999</v>
      </c>
    </row>
    <row r="25" spans="1:8" ht="15.75" thickBot="1" x14ac:dyDescent="0.3">
      <c r="A25" s="785" t="s">
        <v>486</v>
      </c>
      <c r="B25" s="187">
        <v>2</v>
      </c>
      <c r="C25" s="188">
        <v>20.54</v>
      </c>
      <c r="D25">
        <f>+C25*E27</f>
        <v>0.48885200000000001</v>
      </c>
      <c r="E25" s="116">
        <f>SUM(C25:D25)</f>
        <v>21.028852000000001</v>
      </c>
    </row>
    <row r="26" spans="1:8" ht="28.5" customHeight="1" thickTop="1" thickBot="1" x14ac:dyDescent="0.3">
      <c r="A26" s="787"/>
      <c r="B26" s="788" t="s">
        <v>125</v>
      </c>
      <c r="C26" s="789">
        <f>SUM(C21:C25)</f>
        <v>163.46</v>
      </c>
    </row>
    <row r="27" spans="1:8" ht="22.5" customHeight="1" thickTop="1" x14ac:dyDescent="0.25">
      <c r="B27" s="90"/>
      <c r="D27">
        <f>SUM(D21:D25)*2080</f>
        <v>8091.9238399999995</v>
      </c>
      <c r="E27" s="90">
        <v>2.3800000000000002E-2</v>
      </c>
    </row>
    <row r="28" spans="1:8" x14ac:dyDescent="0.25">
      <c r="E28" s="536">
        <v>0.01</v>
      </c>
    </row>
    <row r="34" spans="1:3" ht="15.75" x14ac:dyDescent="0.25">
      <c r="A34" s="64"/>
      <c r="B34" s="783"/>
      <c r="C34" s="783" t="s">
        <v>150</v>
      </c>
    </row>
    <row r="35" spans="1:3" ht="16.5" thickBot="1" x14ac:dyDescent="0.3">
      <c r="A35" s="64" t="s">
        <v>151</v>
      </c>
      <c r="B35" s="783" t="s">
        <v>152</v>
      </c>
      <c r="C35" s="784" t="s">
        <v>153</v>
      </c>
    </row>
    <row r="36" spans="1:3" ht="15.75" thickTop="1" x14ac:dyDescent="0.25">
      <c r="A36" s="127" t="s">
        <v>161</v>
      </c>
      <c r="B36" s="128">
        <v>27</v>
      </c>
      <c r="C36" s="129">
        <v>49.14</v>
      </c>
    </row>
    <row r="37" spans="1:3" x14ac:dyDescent="0.25">
      <c r="A37" s="111" t="s">
        <v>485</v>
      </c>
      <c r="B37" s="112">
        <v>1</v>
      </c>
      <c r="C37" s="113">
        <v>30.1</v>
      </c>
    </row>
    <row r="38" spans="1:3" x14ac:dyDescent="0.25">
      <c r="A38" s="111" t="s">
        <v>163</v>
      </c>
      <c r="B38" s="112">
        <v>8</v>
      </c>
      <c r="C38" s="113">
        <v>37.79</v>
      </c>
    </row>
    <row r="39" spans="1:3" x14ac:dyDescent="0.25">
      <c r="A39" s="111" t="s">
        <v>203</v>
      </c>
      <c r="B39" s="112">
        <v>1</v>
      </c>
      <c r="C39" s="113">
        <v>25.89</v>
      </c>
    </row>
    <row r="40" spans="1:3" x14ac:dyDescent="0.25">
      <c r="A40" s="189" t="s">
        <v>204</v>
      </c>
      <c r="B40" s="190">
        <v>1</v>
      </c>
      <c r="C40" s="191">
        <v>20.54</v>
      </c>
    </row>
    <row r="41" spans="1:3" ht="15.75" thickBot="1" x14ac:dyDescent="0.3">
      <c r="A41" s="136"/>
      <c r="B41" s="137"/>
      <c r="C41" s="180" t="s">
        <v>125</v>
      </c>
    </row>
    <row r="42" spans="1:3" ht="15.75" thickTop="1" x14ac:dyDescent="0.25"/>
    <row r="43" spans="1:3" ht="15.75" x14ac:dyDescent="0.25">
      <c r="A43" s="783"/>
      <c r="B43" s="783" t="s">
        <v>157</v>
      </c>
      <c r="C43" s="783" t="s">
        <v>165</v>
      </c>
    </row>
    <row r="44" spans="1:3" x14ac:dyDescent="0.25">
      <c r="A44" s="89" t="s">
        <v>161</v>
      </c>
      <c r="B44" s="90">
        <v>3.2000000000000001E-2</v>
      </c>
      <c r="C44" s="91">
        <f>1725.27*12</f>
        <v>20703.239999999998</v>
      </c>
    </row>
    <row r="45" spans="1:3" x14ac:dyDescent="0.25">
      <c r="A45" s="89" t="s">
        <v>162</v>
      </c>
      <c r="B45" s="90">
        <v>3.2000000000000001E-2</v>
      </c>
      <c r="C45" s="91">
        <f>1725.27*12</f>
        <v>20703.239999999998</v>
      </c>
    </row>
    <row r="46" spans="1:3" x14ac:dyDescent="0.25">
      <c r="A46" s="89" t="s">
        <v>163</v>
      </c>
      <c r="B46" s="90">
        <v>3.2000000000000001E-2</v>
      </c>
      <c r="C46" s="91">
        <f>1263.67*12</f>
        <v>15164.04</v>
      </c>
    </row>
    <row r="47" spans="1:3" x14ac:dyDescent="0.25">
      <c r="A47" s="89" t="s">
        <v>203</v>
      </c>
      <c r="B47" s="90">
        <v>3.2000000000000001E-2</v>
      </c>
      <c r="C47" s="91">
        <f>1725.27*12</f>
        <v>20703.239999999998</v>
      </c>
    </row>
    <row r="48" spans="1:3" x14ac:dyDescent="0.25">
      <c r="A48" t="s">
        <v>204</v>
      </c>
      <c r="B48" s="90">
        <v>3.2000000000000001E-2</v>
      </c>
      <c r="C48" s="91">
        <f>1263.67*12</f>
        <v>15164.04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D61F-A23D-44DE-AF6E-6ADFF460568A}">
  <dimension ref="A1:C101"/>
  <sheetViews>
    <sheetView workbookViewId="0">
      <selection activeCell="C1" sqref="A1:C1048576"/>
    </sheetView>
  </sheetViews>
  <sheetFormatPr defaultRowHeight="15" x14ac:dyDescent="0.25"/>
  <cols>
    <col min="1" max="3" width="21.28515625" customWidth="1"/>
  </cols>
  <sheetData>
    <row r="1" spans="1:3" ht="63.75" thickTop="1" x14ac:dyDescent="0.35">
      <c r="A1" s="736" t="s">
        <v>446</v>
      </c>
      <c r="B1" s="737" t="s">
        <v>201</v>
      </c>
      <c r="C1" s="738"/>
    </row>
    <row r="2" spans="1:3" ht="18.75" x14ac:dyDescent="0.3">
      <c r="A2" s="553"/>
      <c r="B2" s="554"/>
      <c r="C2" s="555"/>
    </row>
    <row r="3" spans="1:3" ht="23.25" x14ac:dyDescent="0.35">
      <c r="A3" s="739">
        <f>B3/10*12</f>
        <v>57159.756000000001</v>
      </c>
      <c r="B3" s="740">
        <v>47633.13</v>
      </c>
      <c r="C3" s="741">
        <f>'Payroll Costs 2018'!G24+'Payroll Costs 2018'!I24</f>
        <v>61980.495558581584</v>
      </c>
    </row>
    <row r="4" spans="1:3" ht="23.25" x14ac:dyDescent="0.35">
      <c r="A4" s="739">
        <f>B4/10*12</f>
        <v>22833.9</v>
      </c>
      <c r="B4" s="740">
        <f>19028.25</f>
        <v>19028.25</v>
      </c>
      <c r="C4" s="741">
        <f>'Payroll Costs 2018'!L24+'Payroll Costs 2018'!K24+'Payroll Costs 2018'!J24-0.21</f>
        <v>25598.564123179753</v>
      </c>
    </row>
    <row r="5" spans="1:3" ht="23.25" x14ac:dyDescent="0.35">
      <c r="A5" s="739">
        <f>B5/10*12</f>
        <v>0</v>
      </c>
      <c r="B5" s="740"/>
      <c r="C5" s="741"/>
    </row>
    <row r="6" spans="1:3" ht="23.25" x14ac:dyDescent="0.35">
      <c r="A6" s="739">
        <f>B6/10*12</f>
        <v>2433.7200000000003</v>
      </c>
      <c r="B6" s="740">
        <v>2028.1</v>
      </c>
      <c r="C6" s="741"/>
    </row>
    <row r="7" spans="1:3" ht="23.25" x14ac:dyDescent="0.35">
      <c r="A7" s="739">
        <v>77406.240000000005</v>
      </c>
      <c r="B7" s="740">
        <v>43494.5</v>
      </c>
      <c r="C7" s="741">
        <f>'Payroll Costs 2018'!H24</f>
        <v>77406.239999999991</v>
      </c>
    </row>
    <row r="8" spans="1:3" ht="23.25" x14ac:dyDescent="0.35">
      <c r="A8" s="739">
        <f>B8/10*12</f>
        <v>4536</v>
      </c>
      <c r="B8" s="740">
        <v>3780</v>
      </c>
      <c r="C8" s="741">
        <v>6118</v>
      </c>
    </row>
    <row r="9" spans="1:3" ht="23.25" x14ac:dyDescent="0.35">
      <c r="A9" s="739">
        <f>227067/10*12</f>
        <v>272480.40000000002</v>
      </c>
      <c r="B9" s="740">
        <v>271307</v>
      </c>
      <c r="C9" s="741">
        <f>'Payroll Costs 2018'!F24+10400</f>
        <v>296419.82260536036</v>
      </c>
    </row>
    <row r="10" spans="1:3" ht="23.25" x14ac:dyDescent="0.35">
      <c r="A10" s="742">
        <f>SUM(A3:A9)</f>
        <v>436850.01600000006</v>
      </c>
      <c r="B10" s="743">
        <f>SUM(B3:B9)</f>
        <v>387270.98</v>
      </c>
      <c r="C10" s="741">
        <f>SUM(C3:C9)</f>
        <v>467523.12228712172</v>
      </c>
    </row>
    <row r="11" spans="1:3" ht="18.75" x14ac:dyDescent="0.3">
      <c r="A11" s="556"/>
      <c r="B11" s="558"/>
      <c r="C11" s="557"/>
    </row>
    <row r="12" spans="1:3" ht="23.25" x14ac:dyDescent="0.35">
      <c r="A12" s="744"/>
      <c r="B12" s="739"/>
      <c r="C12" s="741">
        <v>0</v>
      </c>
    </row>
    <row r="13" spans="1:3" ht="23.25" x14ac:dyDescent="0.35">
      <c r="A13" s="744">
        <f>B13/10*12</f>
        <v>1924.7400000000002</v>
      </c>
      <c r="B13" s="739">
        <v>1603.95</v>
      </c>
      <c r="C13" s="741">
        <v>3000</v>
      </c>
    </row>
    <row r="14" spans="1:3" ht="23.25" x14ac:dyDescent="0.35">
      <c r="A14" s="744">
        <f>B14/10*12</f>
        <v>0</v>
      </c>
      <c r="B14" s="746">
        <v>0</v>
      </c>
      <c r="C14" s="741">
        <v>265000</v>
      </c>
    </row>
    <row r="15" spans="1:3" ht="23.25" x14ac:dyDescent="0.35">
      <c r="A15" s="744">
        <f>B15/10*12</f>
        <v>0</v>
      </c>
      <c r="B15" s="739"/>
      <c r="C15" s="741">
        <v>5200</v>
      </c>
    </row>
    <row r="16" spans="1:3" ht="23.25" x14ac:dyDescent="0.35">
      <c r="A16" s="744">
        <f>B16/10*12</f>
        <v>0</v>
      </c>
      <c r="B16" s="739"/>
      <c r="C16" s="741"/>
    </row>
    <row r="17" spans="1:3" ht="23.25" x14ac:dyDescent="0.35">
      <c r="A17" s="744">
        <f>B17/10*12</f>
        <v>19508.255999999998</v>
      </c>
      <c r="B17" s="739">
        <v>16256.88</v>
      </c>
      <c r="C17" s="741">
        <v>18000</v>
      </c>
    </row>
    <row r="18" spans="1:3" ht="23.25" x14ac:dyDescent="0.35">
      <c r="A18" s="744">
        <v>806.5</v>
      </c>
      <c r="B18" s="739">
        <v>806.5</v>
      </c>
      <c r="C18" s="741">
        <v>500</v>
      </c>
    </row>
    <row r="19" spans="1:3" ht="23.25" x14ac:dyDescent="0.35">
      <c r="A19" s="744">
        <f>B19/10*12</f>
        <v>6816.0839999999989</v>
      </c>
      <c r="B19" s="739">
        <v>5680.07</v>
      </c>
      <c r="C19" s="741">
        <v>10000</v>
      </c>
    </row>
    <row r="20" spans="1:3" ht="23.25" x14ac:dyDescent="0.35">
      <c r="A20" s="744">
        <f>B20/10*12</f>
        <v>9435.1319999999996</v>
      </c>
      <c r="B20" s="739">
        <v>7862.61</v>
      </c>
      <c r="C20" s="741">
        <v>8000</v>
      </c>
    </row>
    <row r="21" spans="1:3" ht="23.25" x14ac:dyDescent="0.35">
      <c r="A21" s="744"/>
      <c r="B21" s="739"/>
      <c r="C21" s="741"/>
    </row>
    <row r="22" spans="1:3" ht="23.25" x14ac:dyDescent="0.35">
      <c r="A22" s="744">
        <f>B22/10*12</f>
        <v>7006.1879999999992</v>
      </c>
      <c r="B22" s="739">
        <v>5838.49</v>
      </c>
      <c r="C22" s="741">
        <v>9000</v>
      </c>
    </row>
    <row r="23" spans="1:3" ht="23.25" x14ac:dyDescent="0.35">
      <c r="A23" s="744">
        <f>B23/10*12</f>
        <v>3780</v>
      </c>
      <c r="B23" s="739">
        <v>3150</v>
      </c>
      <c r="C23" s="741">
        <f>350*12</f>
        <v>4200</v>
      </c>
    </row>
    <row r="24" spans="1:3" ht="23.25" x14ac:dyDescent="0.35">
      <c r="A24" s="744">
        <v>3362.43</v>
      </c>
      <c r="B24" s="739">
        <v>3362.42</v>
      </c>
      <c r="C24" s="741">
        <v>2000</v>
      </c>
    </row>
    <row r="25" spans="1:3" ht="23.25" x14ac:dyDescent="0.35">
      <c r="A25" s="744">
        <f>B25/10*12</f>
        <v>21845.760000000002</v>
      </c>
      <c r="B25" s="747">
        <v>18204.8</v>
      </c>
      <c r="C25" s="741">
        <v>10000</v>
      </c>
    </row>
    <row r="26" spans="1:3" ht="23.25" x14ac:dyDescent="0.35">
      <c r="A26" s="744">
        <f>B26/10*12</f>
        <v>7407.0480000000007</v>
      </c>
      <c r="B26" s="742">
        <v>6172.54</v>
      </c>
      <c r="C26" s="741">
        <v>7000</v>
      </c>
    </row>
    <row r="27" spans="1:3" ht="23.25" x14ac:dyDescent="0.35">
      <c r="A27" s="744">
        <v>791.54</v>
      </c>
      <c r="B27" s="742">
        <v>791.54</v>
      </c>
      <c r="C27" s="741">
        <v>1500</v>
      </c>
    </row>
    <row r="28" spans="1:3" ht="23.25" x14ac:dyDescent="0.35">
      <c r="A28" s="744">
        <f>B28/10*12</f>
        <v>1917.8880000000001</v>
      </c>
      <c r="B28" s="742">
        <v>1598.24</v>
      </c>
      <c r="C28" s="741">
        <v>2600</v>
      </c>
    </row>
    <row r="29" spans="1:3" ht="23.25" x14ac:dyDescent="0.35">
      <c r="A29" s="744">
        <f>B29/10*12</f>
        <v>3753.636</v>
      </c>
      <c r="B29" s="742">
        <v>3128.03</v>
      </c>
      <c r="C29" s="741">
        <v>6100</v>
      </c>
    </row>
    <row r="30" spans="1:3" ht="23.25" x14ac:dyDescent="0.35">
      <c r="A30" s="744">
        <f>B30/10*12</f>
        <v>718.82400000000007</v>
      </c>
      <c r="B30" s="742">
        <v>599.02</v>
      </c>
      <c r="C30" s="741">
        <v>600</v>
      </c>
    </row>
    <row r="31" spans="1:3" ht="23.25" x14ac:dyDescent="0.35">
      <c r="A31" s="744">
        <f>B31</f>
        <v>19467.3</v>
      </c>
      <c r="B31" s="748">
        <f>14320.48+5146.82</f>
        <v>19467.3</v>
      </c>
      <c r="C31" s="745">
        <v>18900</v>
      </c>
    </row>
    <row r="32" spans="1:3" ht="23.25" x14ac:dyDescent="0.35">
      <c r="A32" s="744">
        <f>B32/10*12</f>
        <v>2686.2479999999996</v>
      </c>
      <c r="B32" s="742">
        <v>2238.54</v>
      </c>
      <c r="C32" s="741"/>
    </row>
    <row r="33" spans="1:3" ht="23.25" x14ac:dyDescent="0.35">
      <c r="A33" s="744">
        <f>B33/10*12</f>
        <v>0</v>
      </c>
      <c r="B33" s="742"/>
      <c r="C33" s="741"/>
    </row>
    <row r="34" spans="1:3" ht="23.25" x14ac:dyDescent="0.35">
      <c r="A34" s="744">
        <f>B34/10*12</f>
        <v>323.57999999999993</v>
      </c>
      <c r="B34" s="742">
        <v>269.64999999999998</v>
      </c>
      <c r="C34" s="741">
        <v>1200</v>
      </c>
    </row>
    <row r="35" spans="1:3" ht="23.25" x14ac:dyDescent="0.35">
      <c r="A35" s="744">
        <f>B35/10*12</f>
        <v>0</v>
      </c>
      <c r="B35" s="742"/>
      <c r="C35" s="741">
        <v>-265000</v>
      </c>
    </row>
    <row r="36" spans="1:3" ht="23.25" x14ac:dyDescent="0.35">
      <c r="A36" s="744">
        <f>B36/10*12</f>
        <v>48</v>
      </c>
      <c r="B36" s="742">
        <v>40</v>
      </c>
      <c r="C36" s="741"/>
    </row>
    <row r="37" spans="1:3" ht="23.25" x14ac:dyDescent="0.35">
      <c r="A37" s="749">
        <f>SUM(A13:A36)</f>
        <v>111599.15399999999</v>
      </c>
      <c r="B37" s="748">
        <f>SUM(B12:B36)</f>
        <v>97070.579999999987</v>
      </c>
      <c r="C37" s="745">
        <f>SUM(C12:C35)</f>
        <v>107800</v>
      </c>
    </row>
    <row r="38" spans="1:3" ht="23.25" x14ac:dyDescent="0.35">
      <c r="A38" s="744"/>
      <c r="B38" s="750"/>
      <c r="C38" s="751"/>
    </row>
    <row r="39" spans="1:3" ht="23.25" x14ac:dyDescent="0.35">
      <c r="A39" s="744">
        <f>B39/9*12</f>
        <v>0</v>
      </c>
      <c r="B39" s="750">
        <v>0</v>
      </c>
      <c r="C39" s="741">
        <v>2500</v>
      </c>
    </row>
    <row r="40" spans="1:3" ht="23.25" x14ac:dyDescent="0.35">
      <c r="A40" s="744">
        <v>5061.24</v>
      </c>
      <c r="B40" s="739">
        <v>5061.24</v>
      </c>
      <c r="C40" s="741">
        <v>5000</v>
      </c>
    </row>
    <row r="41" spans="1:3" ht="23.25" x14ac:dyDescent="0.35">
      <c r="A41" s="744">
        <v>15500</v>
      </c>
      <c r="B41" s="739">
        <v>15500</v>
      </c>
      <c r="C41" s="741">
        <v>18000</v>
      </c>
    </row>
    <row r="42" spans="1:3" ht="23.25" x14ac:dyDescent="0.35">
      <c r="A42" s="744">
        <f>B42/10*12</f>
        <v>0</v>
      </c>
      <c r="B42" s="739">
        <v>0</v>
      </c>
      <c r="C42" s="741">
        <v>1500</v>
      </c>
    </row>
    <row r="43" spans="1:3" ht="23.25" x14ac:dyDescent="0.35">
      <c r="A43" s="744">
        <f>B43/10*12</f>
        <v>1326</v>
      </c>
      <c r="B43" s="739">
        <v>1105</v>
      </c>
      <c r="C43" s="741">
        <v>3500</v>
      </c>
    </row>
    <row r="44" spans="1:3" ht="23.25" x14ac:dyDescent="0.35">
      <c r="A44" s="744">
        <v>16000</v>
      </c>
      <c r="B44" s="739">
        <f>58743.72-43298</f>
        <v>15445.720000000001</v>
      </c>
      <c r="C44" s="741">
        <f>40500-82</f>
        <v>40418</v>
      </c>
    </row>
    <row r="45" spans="1:3" ht="23.25" x14ac:dyDescent="0.35">
      <c r="A45" s="744">
        <v>2348.42</v>
      </c>
      <c r="B45" s="739">
        <v>2348.42</v>
      </c>
      <c r="C45" s="741">
        <v>1800</v>
      </c>
    </row>
    <row r="46" spans="1:3" ht="23.25" x14ac:dyDescent="0.35">
      <c r="A46" s="744">
        <f>B46/10*12</f>
        <v>0</v>
      </c>
      <c r="B46" s="739"/>
      <c r="C46" s="741"/>
    </row>
    <row r="47" spans="1:3" ht="23.25" x14ac:dyDescent="0.35">
      <c r="A47" s="744">
        <f>B47/10*12</f>
        <v>3201.7919999999995</v>
      </c>
      <c r="B47" s="739">
        <v>2668.16</v>
      </c>
      <c r="C47" s="741">
        <v>4500</v>
      </c>
    </row>
    <row r="48" spans="1:3" ht="23.25" x14ac:dyDescent="0.35">
      <c r="A48" s="744">
        <f>B48/10*12</f>
        <v>13176.624000000002</v>
      </c>
      <c r="B48" s="739">
        <v>10980.52</v>
      </c>
      <c r="C48" s="741">
        <f>11600+1392</f>
        <v>12992</v>
      </c>
    </row>
    <row r="49" spans="1:3" ht="23.25" x14ac:dyDescent="0.35">
      <c r="A49" s="744">
        <v>67000</v>
      </c>
      <c r="B49" s="739">
        <f>14794.57+43298+7223</f>
        <v>65315.57</v>
      </c>
      <c r="C49" s="741">
        <v>21000</v>
      </c>
    </row>
    <row r="50" spans="1:3" ht="23.25" x14ac:dyDescent="0.35">
      <c r="A50" s="744">
        <v>4300</v>
      </c>
      <c r="B50" s="739">
        <v>4300</v>
      </c>
      <c r="C50" s="741"/>
    </row>
    <row r="51" spans="1:3" ht="23.25" x14ac:dyDescent="0.35">
      <c r="A51" s="744">
        <f t="shared" ref="A51:A60" si="0">B51/10*12</f>
        <v>4717.2960000000003</v>
      </c>
      <c r="B51" s="739">
        <v>3931.08</v>
      </c>
      <c r="C51" s="741">
        <v>1000</v>
      </c>
    </row>
    <row r="52" spans="1:3" ht="23.25" x14ac:dyDescent="0.35">
      <c r="A52" s="744">
        <f t="shared" si="0"/>
        <v>0</v>
      </c>
      <c r="B52" s="739"/>
      <c r="C52" s="741">
        <v>2000</v>
      </c>
    </row>
    <row r="53" spans="1:3" ht="23.25" x14ac:dyDescent="0.35">
      <c r="A53" s="744">
        <f t="shared" si="0"/>
        <v>0</v>
      </c>
      <c r="B53" s="739"/>
      <c r="C53" s="741">
        <v>500</v>
      </c>
    </row>
    <row r="54" spans="1:3" ht="23.25" x14ac:dyDescent="0.35">
      <c r="A54" s="744">
        <f t="shared" si="0"/>
        <v>3925.6199999999985</v>
      </c>
      <c r="B54" s="739">
        <f>18771.35-15500</f>
        <v>3271.3499999999985</v>
      </c>
      <c r="C54" s="741">
        <v>4000</v>
      </c>
    </row>
    <row r="55" spans="1:3" ht="23.25" x14ac:dyDescent="0.35">
      <c r="A55" s="744">
        <f t="shared" si="0"/>
        <v>1356</v>
      </c>
      <c r="B55" s="752">
        <v>1130</v>
      </c>
      <c r="C55" s="741">
        <v>500</v>
      </c>
    </row>
    <row r="56" spans="1:3" ht="23.25" x14ac:dyDescent="0.35">
      <c r="A56" s="744">
        <f t="shared" si="0"/>
        <v>14987.675999999999</v>
      </c>
      <c r="B56" s="752">
        <v>12489.73</v>
      </c>
      <c r="C56" s="741">
        <v>7000</v>
      </c>
    </row>
    <row r="57" spans="1:3" ht="23.25" x14ac:dyDescent="0.35">
      <c r="A57" s="744">
        <f t="shared" si="0"/>
        <v>0</v>
      </c>
      <c r="B57" s="752"/>
      <c r="C57" s="741"/>
    </row>
    <row r="58" spans="1:3" ht="23.25" x14ac:dyDescent="0.35">
      <c r="A58" s="744">
        <f t="shared" si="0"/>
        <v>0</v>
      </c>
      <c r="B58" s="752"/>
      <c r="C58" s="741"/>
    </row>
    <row r="59" spans="1:3" ht="23.25" x14ac:dyDescent="0.35">
      <c r="A59" s="744">
        <f t="shared" si="0"/>
        <v>33443.664000000004</v>
      </c>
      <c r="B59" s="752">
        <v>27869.72</v>
      </c>
      <c r="C59" s="741">
        <v>70000</v>
      </c>
    </row>
    <row r="60" spans="1:3" ht="23.25" x14ac:dyDescent="0.35">
      <c r="A60" s="744">
        <f t="shared" si="0"/>
        <v>0</v>
      </c>
      <c r="B60" s="752"/>
      <c r="C60" s="741"/>
    </row>
    <row r="61" spans="1:3" ht="23.25" x14ac:dyDescent="0.35">
      <c r="A61" s="748">
        <f>SUM(A39:A60)</f>
        <v>186344.33199999999</v>
      </c>
      <c r="B61" s="742">
        <f>SUM(B39:B60)</f>
        <v>171416.51</v>
      </c>
      <c r="C61" s="741">
        <f>SUM(C39:C59)</f>
        <v>196210</v>
      </c>
    </row>
    <row r="62" spans="1:3" ht="23.25" x14ac:dyDescent="0.35">
      <c r="A62" s="749">
        <f>A10+A37+A61</f>
        <v>734793.50200000009</v>
      </c>
      <c r="B62" s="748">
        <f>B10+B37+B61</f>
        <v>655758.06999999995</v>
      </c>
      <c r="C62" s="745">
        <f>C10+C37+C61</f>
        <v>771533.12228712172</v>
      </c>
    </row>
    <row r="63" spans="1:3" ht="23.25" x14ac:dyDescent="0.35">
      <c r="A63" s="753"/>
      <c r="B63" s="752"/>
      <c r="C63" s="754"/>
    </row>
    <row r="64" spans="1:3" ht="23.25" x14ac:dyDescent="0.35">
      <c r="A64" s="753"/>
      <c r="B64" s="752"/>
      <c r="C64" s="741"/>
    </row>
    <row r="65" spans="1:3" ht="23.25" x14ac:dyDescent="0.35">
      <c r="A65" s="753"/>
      <c r="B65" s="752"/>
      <c r="C65" s="741"/>
    </row>
    <row r="66" spans="1:3" ht="23.25" x14ac:dyDescent="0.35">
      <c r="A66" s="753"/>
      <c r="B66" s="752">
        <v>0</v>
      </c>
      <c r="C66" s="741">
        <v>0</v>
      </c>
    </row>
    <row r="67" spans="1:3" ht="23.25" x14ac:dyDescent="0.35">
      <c r="A67" s="753">
        <f>B67/10*12</f>
        <v>59881</v>
      </c>
      <c r="B67" s="752">
        <f>C67/12*10</f>
        <v>49900.833333333328</v>
      </c>
      <c r="C67" s="741">
        <v>59881</v>
      </c>
    </row>
    <row r="68" spans="1:3" ht="23.25" x14ac:dyDescent="0.35">
      <c r="A68" s="753">
        <f>B68/10*12</f>
        <v>362171.88</v>
      </c>
      <c r="B68" s="752">
        <f>C68/12*10</f>
        <v>301809.90000000002</v>
      </c>
      <c r="C68" s="741">
        <v>362171.88</v>
      </c>
    </row>
    <row r="69" spans="1:3" ht="23.25" x14ac:dyDescent="0.35">
      <c r="A69" s="753">
        <f>B69/9*12</f>
        <v>0</v>
      </c>
      <c r="B69" s="752"/>
      <c r="C69" s="741"/>
    </row>
    <row r="70" spans="1:3" ht="23.25" x14ac:dyDescent="0.35">
      <c r="A70" s="753">
        <f>B70/10*12</f>
        <v>46707</v>
      </c>
      <c r="B70" s="752">
        <f>C70/12*10</f>
        <v>38922.5</v>
      </c>
      <c r="C70" s="741">
        <v>46707</v>
      </c>
    </row>
    <row r="71" spans="1:3" ht="23.25" x14ac:dyDescent="0.35">
      <c r="A71" s="753">
        <f>B71/10*12</f>
        <v>185000</v>
      </c>
      <c r="B71" s="752">
        <f>C71/12*10</f>
        <v>154166.66666666666</v>
      </c>
      <c r="C71" s="741">
        <v>185000</v>
      </c>
    </row>
    <row r="72" spans="1:3" ht="23.25" x14ac:dyDescent="0.35">
      <c r="A72" s="744">
        <f>SUM(A67:A71)</f>
        <v>653759.88</v>
      </c>
      <c r="B72" s="739">
        <f>SUM(B67:B71)</f>
        <v>544799.9</v>
      </c>
      <c r="C72" s="741">
        <f>SUM(C66:C71)</f>
        <v>653759.88</v>
      </c>
    </row>
    <row r="73" spans="1:3" ht="23.25" x14ac:dyDescent="0.35">
      <c r="A73" s="749">
        <f>A62+A72</f>
        <v>1388553.3820000002</v>
      </c>
      <c r="B73" s="748">
        <f>B72+B62</f>
        <v>1200557.97</v>
      </c>
      <c r="C73" s="745">
        <f>C72+C62</f>
        <v>1425293.0022871217</v>
      </c>
    </row>
    <row r="74" spans="1:3" ht="23.25" x14ac:dyDescent="0.35">
      <c r="A74" s="748"/>
      <c r="B74" s="748"/>
      <c r="C74" s="748"/>
    </row>
    <row r="75" spans="1:3" ht="23.25" x14ac:dyDescent="0.35">
      <c r="A75" s="744"/>
      <c r="B75" s="744"/>
      <c r="C75" s="748"/>
    </row>
    <row r="76" spans="1:3" ht="23.25" x14ac:dyDescent="0.35">
      <c r="A76" s="744">
        <f t="shared" ref="A76:A92" si="1">B76/10*12</f>
        <v>50022.576000000008</v>
      </c>
      <c r="B76" s="739">
        <v>41685.480000000003</v>
      </c>
      <c r="C76" s="745">
        <v>45000</v>
      </c>
    </row>
    <row r="77" spans="1:3" ht="23.25" x14ac:dyDescent="0.35">
      <c r="A77" s="744">
        <f t="shared" si="1"/>
        <v>234774.10799999998</v>
      </c>
      <c r="B77" s="739">
        <v>195645.09</v>
      </c>
      <c r="C77" s="741" t="e">
        <f>'2022 Approved'!#REF!</f>
        <v>#REF!</v>
      </c>
    </row>
    <row r="78" spans="1:3" ht="23.25" x14ac:dyDescent="0.35">
      <c r="A78" s="744">
        <f t="shared" si="1"/>
        <v>235465.46399999998</v>
      </c>
      <c r="B78" s="752">
        <v>196221.22</v>
      </c>
      <c r="C78" s="741" t="e">
        <f>'2022 Approved'!#REF!</f>
        <v>#REF!</v>
      </c>
    </row>
    <row r="79" spans="1:3" ht="23.25" x14ac:dyDescent="0.35">
      <c r="A79" s="744">
        <f t="shared" si="1"/>
        <v>13956.071999999998</v>
      </c>
      <c r="B79" s="752">
        <v>11630.06</v>
      </c>
      <c r="C79" s="741" t="e">
        <f>'2022 Approved'!#REF!</f>
        <v>#REF!</v>
      </c>
    </row>
    <row r="80" spans="1:3" ht="23.25" x14ac:dyDescent="0.35">
      <c r="A80" s="744">
        <f t="shared" si="1"/>
        <v>152060.424</v>
      </c>
      <c r="B80" s="755">
        <v>126717.02</v>
      </c>
      <c r="C80" s="741">
        <v>35000</v>
      </c>
    </row>
    <row r="81" spans="1:3" ht="23.25" x14ac:dyDescent="0.35">
      <c r="A81" s="744">
        <f t="shared" si="1"/>
        <v>0</v>
      </c>
      <c r="B81" s="752"/>
      <c r="C81" s="741"/>
    </row>
    <row r="82" spans="1:3" ht="23.25" x14ac:dyDescent="0.35">
      <c r="A82" s="744">
        <f t="shared" si="1"/>
        <v>0</v>
      </c>
      <c r="B82" s="752"/>
      <c r="C82" s="741"/>
    </row>
    <row r="83" spans="1:3" ht="23.25" x14ac:dyDescent="0.35">
      <c r="A83" s="744">
        <f t="shared" si="1"/>
        <v>686278.64400000009</v>
      </c>
      <c r="B83" s="756">
        <f>SUM(B76:B82)</f>
        <v>571898.87</v>
      </c>
      <c r="C83" s="741" t="e">
        <f>SUM(C76:C82)</f>
        <v>#REF!</v>
      </c>
    </row>
    <row r="84" spans="1:3" ht="23.25" x14ac:dyDescent="0.35">
      <c r="A84" s="744">
        <f t="shared" si="1"/>
        <v>0</v>
      </c>
      <c r="B84" s="752"/>
      <c r="C84" s="741"/>
    </row>
    <row r="85" spans="1:3" ht="23.25" x14ac:dyDescent="0.35">
      <c r="A85" s="744">
        <f t="shared" si="1"/>
        <v>0</v>
      </c>
      <c r="B85" s="752"/>
      <c r="C85" s="741"/>
    </row>
    <row r="86" spans="1:3" ht="23.25" x14ac:dyDescent="0.35">
      <c r="A86" s="744">
        <f t="shared" si="1"/>
        <v>0</v>
      </c>
      <c r="B86" s="752"/>
      <c r="C86" s="741">
        <v>4000</v>
      </c>
    </row>
    <row r="87" spans="1:3" ht="23.25" x14ac:dyDescent="0.35">
      <c r="A87" s="744">
        <f t="shared" si="1"/>
        <v>2709.9360000000006</v>
      </c>
      <c r="B87" s="752">
        <v>2258.2800000000002</v>
      </c>
      <c r="C87" s="741">
        <v>1500</v>
      </c>
    </row>
    <row r="88" spans="1:3" ht="23.25" x14ac:dyDescent="0.35">
      <c r="A88" s="744">
        <f t="shared" si="1"/>
        <v>4840.5720000000001</v>
      </c>
      <c r="B88" s="752">
        <v>4033.81</v>
      </c>
      <c r="C88" s="741">
        <v>7000</v>
      </c>
    </row>
    <row r="89" spans="1:3" ht="23.25" x14ac:dyDescent="0.35">
      <c r="A89" s="744">
        <f t="shared" si="1"/>
        <v>642.49199999999996</v>
      </c>
      <c r="B89" s="752">
        <v>535.41</v>
      </c>
      <c r="C89" s="741">
        <v>100</v>
      </c>
    </row>
    <row r="90" spans="1:3" ht="23.25" x14ac:dyDescent="0.35">
      <c r="A90" s="744">
        <f t="shared" si="1"/>
        <v>60.720000000000006</v>
      </c>
      <c r="B90" s="739">
        <v>50.6</v>
      </c>
      <c r="C90" s="741"/>
    </row>
    <row r="91" spans="1:3" ht="23.25" x14ac:dyDescent="0.35">
      <c r="A91" s="744">
        <f t="shared" si="1"/>
        <v>0</v>
      </c>
      <c r="B91" s="739"/>
      <c r="C91" s="741"/>
    </row>
    <row r="92" spans="1:3" ht="23.25" x14ac:dyDescent="0.35">
      <c r="A92" s="748">
        <f t="shared" si="1"/>
        <v>8253.7200000000012</v>
      </c>
      <c r="B92" s="748">
        <f>SUM(B87:B91)</f>
        <v>6878.1</v>
      </c>
      <c r="C92" s="745">
        <f>SUM(C86:C91)</f>
        <v>12600</v>
      </c>
    </row>
    <row r="93" spans="1:3" ht="23.25" x14ac:dyDescent="0.35">
      <c r="A93" s="749">
        <f>A92+A83</f>
        <v>694532.36400000006</v>
      </c>
      <c r="B93" s="748">
        <f>B92+B83</f>
        <v>578776.97</v>
      </c>
      <c r="C93" s="745" t="e">
        <f>C92+C83</f>
        <v>#REF!</v>
      </c>
    </row>
    <row r="94" spans="1:3" ht="69.75" x14ac:dyDescent="0.35">
      <c r="A94" s="744"/>
      <c r="B94" s="757" t="s">
        <v>201</v>
      </c>
      <c r="C94" s="758" t="s">
        <v>200</v>
      </c>
    </row>
    <row r="95" spans="1:3" ht="23.25" x14ac:dyDescent="0.35">
      <c r="A95" s="744">
        <f>B95/10*12</f>
        <v>183770.80800000002</v>
      </c>
      <c r="B95" s="739">
        <v>153142.34</v>
      </c>
      <c r="C95" s="741" t="e">
        <f>'2022 Approved'!#REF!</f>
        <v>#REF!</v>
      </c>
    </row>
    <row r="96" spans="1:3" ht="23.25" x14ac:dyDescent="0.35">
      <c r="A96" s="744">
        <f>B96/10*12</f>
        <v>0</v>
      </c>
      <c r="B96" s="739"/>
      <c r="C96" s="741"/>
    </row>
    <row r="97" spans="1:3" ht="23.25" x14ac:dyDescent="0.35">
      <c r="A97" s="744">
        <f>B97/10*12</f>
        <v>41661.683999999994</v>
      </c>
      <c r="B97" s="739">
        <v>34718.07</v>
      </c>
      <c r="C97" s="741">
        <v>46551</v>
      </c>
    </row>
    <row r="98" spans="1:3" ht="23.25" x14ac:dyDescent="0.35">
      <c r="A98" s="744">
        <f>B98/10*12</f>
        <v>485481.04800000001</v>
      </c>
      <c r="B98" s="739">
        <v>404567.54</v>
      </c>
      <c r="C98" s="741">
        <f>'2022 Approved'!C110</f>
        <v>360253.8</v>
      </c>
    </row>
    <row r="99" spans="1:3" ht="23.25" x14ac:dyDescent="0.35">
      <c r="A99" s="753">
        <f>SUM(A95:A98)</f>
        <v>710913.54</v>
      </c>
      <c r="B99" s="752">
        <f>SUM(B95:B98)</f>
        <v>592427.94999999995</v>
      </c>
      <c r="C99" s="741" t="e">
        <f>SUM(C95:C98)</f>
        <v>#REF!</v>
      </c>
    </row>
    <row r="100" spans="1:3" ht="24" thickBot="1" x14ac:dyDescent="0.4">
      <c r="A100" s="776">
        <f>A99+A93</f>
        <v>1405445.9040000001</v>
      </c>
      <c r="B100" s="777">
        <f>B99+B93</f>
        <v>1171204.92</v>
      </c>
      <c r="C100" s="778" t="e">
        <f>C93+C99</f>
        <v>#REF!</v>
      </c>
    </row>
    <row r="101" spans="1:3" ht="15.75" thickTop="1" x14ac:dyDescent="0.25"/>
  </sheetData>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4C9E-CA51-4386-A07E-BD9D21A3CB1F}">
  <dimension ref="A1:F21"/>
  <sheetViews>
    <sheetView topLeftCell="C8" workbookViewId="0">
      <selection activeCell="A21" sqref="A21:H24"/>
    </sheetView>
  </sheetViews>
  <sheetFormatPr defaultRowHeight="15" x14ac:dyDescent="0.25"/>
  <cols>
    <col min="1" max="1" width="35.85546875" customWidth="1"/>
    <col min="2" max="2" width="54.140625" customWidth="1"/>
    <col min="3" max="3" width="22.42578125" customWidth="1"/>
    <col min="4" max="4" width="17.28515625" customWidth="1"/>
    <col min="5" max="5" width="21.85546875" customWidth="1"/>
    <col min="6" max="6" width="24.85546875" customWidth="1"/>
  </cols>
  <sheetData>
    <row r="1" spans="1:6" ht="21" customHeight="1" thickTop="1" thickBot="1" x14ac:dyDescent="0.4">
      <c r="A1" s="759" t="s">
        <v>470</v>
      </c>
      <c r="B1" s="760"/>
      <c r="C1" s="761" t="s">
        <v>429</v>
      </c>
      <c r="D1" s="762"/>
      <c r="E1" s="763" t="s">
        <v>453</v>
      </c>
      <c r="F1" s="763" t="s">
        <v>464</v>
      </c>
    </row>
    <row r="2" spans="1:6" ht="24.75" thickTop="1" thickBot="1" x14ac:dyDescent="0.4">
      <c r="A2" s="759" t="s">
        <v>139</v>
      </c>
      <c r="B2" s="764" t="s">
        <v>465</v>
      </c>
      <c r="C2" s="765">
        <f>F2/12</f>
        <v>5946.666666666667</v>
      </c>
      <c r="D2" s="766"/>
      <c r="E2" s="767">
        <v>45000</v>
      </c>
      <c r="F2" s="767">
        <v>71360</v>
      </c>
    </row>
    <row r="3" spans="1:6" ht="24.75" thickTop="1" thickBot="1" x14ac:dyDescent="0.4">
      <c r="A3" s="759" t="s">
        <v>140</v>
      </c>
      <c r="B3" s="764" t="s">
        <v>466</v>
      </c>
      <c r="C3" s="765">
        <f>892*24.5</f>
        <v>21854</v>
      </c>
      <c r="D3" s="766"/>
      <c r="E3" s="767">
        <v>256956</v>
      </c>
      <c r="F3" s="767">
        <f>901*24.5*12</f>
        <v>264894</v>
      </c>
    </row>
    <row r="4" spans="1:6" ht="24.75" thickTop="1" thickBot="1" x14ac:dyDescent="0.4">
      <c r="A4" s="759" t="s">
        <v>141</v>
      </c>
      <c r="B4" s="764" t="s">
        <v>454</v>
      </c>
      <c r="C4" s="765">
        <f>1446*3.5</f>
        <v>5061</v>
      </c>
      <c r="D4" s="766"/>
      <c r="E4" s="767">
        <f>204160.32+5754</f>
        <v>209914.32</v>
      </c>
      <c r="F4" s="767">
        <f>C4*12</f>
        <v>60732</v>
      </c>
    </row>
    <row r="5" spans="1:6" ht="23.25" customHeight="1" thickTop="1" thickBot="1" x14ac:dyDescent="0.4">
      <c r="A5" s="759" t="s">
        <v>142</v>
      </c>
      <c r="B5" s="760" t="s">
        <v>467</v>
      </c>
      <c r="C5" s="765">
        <f>1446*30</f>
        <v>43380</v>
      </c>
      <c r="D5" s="766"/>
      <c r="E5" s="767">
        <v>264600</v>
      </c>
      <c r="F5" s="767">
        <f>30*1448*12</f>
        <v>521280</v>
      </c>
    </row>
    <row r="6" spans="1:6" ht="24.75" customHeight="1" thickTop="1" thickBot="1" x14ac:dyDescent="0.4">
      <c r="A6" s="759" t="s">
        <v>147</v>
      </c>
      <c r="B6" s="760" t="s">
        <v>468</v>
      </c>
      <c r="C6" s="765">
        <f>1104*41</f>
        <v>45264</v>
      </c>
      <c r="D6" s="766"/>
      <c r="E6" s="767">
        <v>543168</v>
      </c>
      <c r="F6" s="767">
        <f>1102*41*12</f>
        <v>542184</v>
      </c>
    </row>
    <row r="7" spans="1:6" ht="24.75" thickTop="1" thickBot="1" x14ac:dyDescent="0.4">
      <c r="A7" s="759" t="s">
        <v>143</v>
      </c>
      <c r="B7" s="764" t="s">
        <v>458</v>
      </c>
      <c r="C7" s="765">
        <f>2.95*1314</f>
        <v>3876.3</v>
      </c>
      <c r="D7" s="766"/>
      <c r="E7" s="767">
        <v>46551.000000000007</v>
      </c>
      <c r="F7" s="767">
        <f>1314*12*2.95</f>
        <v>46515.600000000006</v>
      </c>
    </row>
    <row r="8" spans="1:6" ht="24.75" thickTop="1" thickBot="1" x14ac:dyDescent="0.4">
      <c r="A8" s="759" t="s">
        <v>144</v>
      </c>
      <c r="B8" s="764" t="s">
        <v>73</v>
      </c>
      <c r="C8" s="765">
        <f>F8/12</f>
        <v>833.33333333333337</v>
      </c>
      <c r="D8" s="766"/>
      <c r="E8" s="767">
        <v>11504</v>
      </c>
      <c r="F8" s="767">
        <v>10000</v>
      </c>
    </row>
    <row r="9" spans="1:6" ht="24.75" thickTop="1" thickBot="1" x14ac:dyDescent="0.4">
      <c r="A9" s="759" t="s">
        <v>145</v>
      </c>
      <c r="B9" s="764" t="s">
        <v>101</v>
      </c>
      <c r="C9" s="765" t="s">
        <v>231</v>
      </c>
      <c r="D9" s="766"/>
      <c r="E9" s="768"/>
      <c r="F9" s="767"/>
    </row>
    <row r="10" spans="1:6" ht="24.75" thickTop="1" thickBot="1" x14ac:dyDescent="0.4">
      <c r="A10" s="759" t="s">
        <v>146</v>
      </c>
      <c r="B10" s="764" t="s">
        <v>102</v>
      </c>
      <c r="C10" s="765">
        <f>F10/12</f>
        <v>4166.666666666667</v>
      </c>
      <c r="D10" s="766"/>
      <c r="E10" s="767">
        <v>35000</v>
      </c>
      <c r="F10" s="767">
        <v>50000</v>
      </c>
    </row>
    <row r="11" spans="1:6" ht="24.75" thickTop="1" thickBot="1" x14ac:dyDescent="0.4">
      <c r="A11" s="759"/>
      <c r="B11" s="764" t="s">
        <v>51</v>
      </c>
      <c r="C11" s="765">
        <v>600</v>
      </c>
      <c r="D11" s="766"/>
      <c r="E11" s="767">
        <v>12600</v>
      </c>
      <c r="F11" s="767" t="e">
        <f>#REF!</f>
        <v>#REF!</v>
      </c>
    </row>
    <row r="12" spans="1:6" ht="51" customHeight="1" thickTop="1" thickBot="1" x14ac:dyDescent="0.4">
      <c r="A12" s="769"/>
      <c r="B12" s="760" t="s">
        <v>58</v>
      </c>
      <c r="C12" s="770">
        <f>SUM(C2:C11)</f>
        <v>130981.96666666667</v>
      </c>
      <c r="D12" s="771" t="s">
        <v>103</v>
      </c>
      <c r="E12" s="772">
        <f>SUM(E2:E11)</f>
        <v>1425293.32</v>
      </c>
      <c r="F12" s="773" t="e">
        <f>SUM(F2:F11)</f>
        <v>#REF!</v>
      </c>
    </row>
    <row r="13" spans="1:6" ht="98.25" customHeight="1" thickTop="1" thickBot="1" x14ac:dyDescent="0.4">
      <c r="A13" s="759" t="s">
        <v>471</v>
      </c>
      <c r="B13" s="760"/>
      <c r="C13" s="761" t="s">
        <v>472</v>
      </c>
      <c r="D13" s="762"/>
      <c r="E13" s="763" t="s">
        <v>453</v>
      </c>
      <c r="F13" s="763" t="s">
        <v>464</v>
      </c>
    </row>
    <row r="14" spans="1:6" ht="24.75" thickTop="1" thickBot="1" x14ac:dyDescent="0.4">
      <c r="A14" s="759" t="s">
        <v>473</v>
      </c>
      <c r="B14" s="764" t="s">
        <v>465</v>
      </c>
      <c r="C14" s="765">
        <f>F14/12</f>
        <v>5946.666666666667</v>
      </c>
      <c r="D14" s="766"/>
      <c r="E14" s="767">
        <v>468912</v>
      </c>
      <c r="F14" s="767">
        <v>71360</v>
      </c>
    </row>
    <row r="15" spans="1:6" ht="24.75" thickTop="1" thickBot="1" x14ac:dyDescent="0.4">
      <c r="A15" s="759" t="s">
        <v>474</v>
      </c>
      <c r="B15" s="764" t="s">
        <v>466</v>
      </c>
      <c r="C15" s="765">
        <f>892*24.5</f>
        <v>21854</v>
      </c>
      <c r="D15" s="766"/>
      <c r="E15" s="767">
        <v>680868</v>
      </c>
      <c r="F15" s="767">
        <f>901*24.5*12</f>
        <v>264894</v>
      </c>
    </row>
    <row r="16" spans="1:6" ht="24.75" thickTop="1" thickBot="1" x14ac:dyDescent="0.4">
      <c r="A16" s="759" t="s">
        <v>475</v>
      </c>
      <c r="B16" s="764" t="s">
        <v>476</v>
      </c>
      <c r="C16" s="765">
        <f>1446*3.5</f>
        <v>5061</v>
      </c>
      <c r="D16" s="766"/>
      <c r="E16" s="767">
        <f>204160.32+5754</f>
        <v>209914.32</v>
      </c>
      <c r="F16" s="767">
        <f>C16*12</f>
        <v>60732</v>
      </c>
    </row>
    <row r="17" spans="1:6" ht="47.25" customHeight="1" thickTop="1" thickBot="1" x14ac:dyDescent="0.4">
      <c r="A17" s="759" t="s">
        <v>477</v>
      </c>
      <c r="B17" s="760" t="s">
        <v>467</v>
      </c>
      <c r="C17" s="765">
        <f>1446*30</f>
        <v>43380</v>
      </c>
      <c r="D17" s="766"/>
      <c r="E17" s="767">
        <v>-106559.39130434699</v>
      </c>
      <c r="F17" s="767">
        <f>30*1448*12</f>
        <v>521280</v>
      </c>
    </row>
    <row r="18" spans="1:6" ht="27" customHeight="1" thickTop="1" thickBot="1" x14ac:dyDescent="0.4">
      <c r="A18" s="759" t="s">
        <v>478</v>
      </c>
      <c r="B18" s="760" t="s">
        <v>468</v>
      </c>
      <c r="C18" s="765">
        <f>1104*41</f>
        <v>45264</v>
      </c>
      <c r="D18" s="766"/>
      <c r="E18" s="767">
        <v>-168670.56521739101</v>
      </c>
      <c r="F18" s="767">
        <f>1102*41*12</f>
        <v>542184</v>
      </c>
    </row>
    <row r="19" spans="1:6" ht="24.75" thickTop="1" thickBot="1" x14ac:dyDescent="0.4">
      <c r="A19" s="759" t="s">
        <v>479</v>
      </c>
      <c r="B19" s="764" t="s">
        <v>458</v>
      </c>
      <c r="C19" s="765">
        <f>2.95*1314</f>
        <v>3876.3</v>
      </c>
      <c r="D19" s="766"/>
      <c r="E19" s="767">
        <v>-230781.739130434</v>
      </c>
      <c r="F19" s="767">
        <f>1314*12*2.95</f>
        <v>46515.600000000006</v>
      </c>
    </row>
    <row r="20" spans="1:6" ht="24.75" thickTop="1" thickBot="1" x14ac:dyDescent="0.4">
      <c r="A20" s="759" t="s">
        <v>480</v>
      </c>
      <c r="B20" s="764" t="s">
        <v>73</v>
      </c>
      <c r="C20" s="765">
        <f>F20/12</f>
        <v>7500</v>
      </c>
      <c r="D20" s="766"/>
      <c r="E20" s="767">
        <v>-292892.91304347903</v>
      </c>
      <c r="F20" s="767">
        <v>90000</v>
      </c>
    </row>
    <row r="21" spans="1:6" ht="15.75" thickTop="1" x14ac:dyDescent="0.25"/>
  </sheetData>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election activeCell="C23" sqref="C23"/>
    </sheetView>
  </sheetViews>
  <sheetFormatPr defaultRowHeight="15" x14ac:dyDescent="0.25"/>
  <cols>
    <col min="1" max="2" width="29.85546875" customWidth="1"/>
    <col min="3" max="3" width="16.140625" customWidth="1"/>
    <col min="4" max="4" width="20.42578125" customWidth="1"/>
    <col min="5" max="5" width="16.7109375" customWidth="1"/>
  </cols>
  <sheetData>
    <row r="1" spans="1:5" ht="15.75" thickTop="1" x14ac:dyDescent="0.25">
      <c r="A1" s="152" t="s">
        <v>195</v>
      </c>
      <c r="B1" s="153">
        <v>2013</v>
      </c>
      <c r="C1" s="153">
        <v>2014</v>
      </c>
      <c r="D1" s="153">
        <v>2015</v>
      </c>
      <c r="E1" s="154">
        <v>2016</v>
      </c>
    </row>
    <row r="2" spans="1:5" x14ac:dyDescent="0.25">
      <c r="A2" s="111"/>
      <c r="B2" s="110"/>
      <c r="C2" s="110"/>
      <c r="D2" s="110"/>
      <c r="E2" s="148"/>
    </row>
    <row r="3" spans="1:5" x14ac:dyDescent="0.25">
      <c r="A3" s="111" t="s">
        <v>183</v>
      </c>
      <c r="B3" s="110"/>
      <c r="C3" s="114">
        <v>304237.15000000002</v>
      </c>
      <c r="D3" s="114">
        <v>222199.46</v>
      </c>
      <c r="E3" s="149">
        <v>314762.98</v>
      </c>
    </row>
    <row r="4" spans="1:5" x14ac:dyDescent="0.25">
      <c r="A4" s="111" t="s">
        <v>184</v>
      </c>
      <c r="B4" s="110"/>
      <c r="C4" s="114">
        <v>313853.53999999998</v>
      </c>
      <c r="D4" s="114">
        <v>218573.29</v>
      </c>
      <c r="E4" s="149">
        <v>283394.78000000003</v>
      </c>
    </row>
    <row r="5" spans="1:5" x14ac:dyDescent="0.25">
      <c r="A5" s="111" t="s">
        <v>185</v>
      </c>
      <c r="B5" s="110"/>
      <c r="C5" s="114">
        <v>185517.03</v>
      </c>
      <c r="D5" s="114">
        <v>210742.1</v>
      </c>
      <c r="E5" s="149">
        <v>234334.04</v>
      </c>
    </row>
    <row r="6" spans="1:5" x14ac:dyDescent="0.25">
      <c r="A6" s="111" t="s">
        <v>186</v>
      </c>
      <c r="B6" s="110"/>
      <c r="C6" s="114">
        <v>211267.84</v>
      </c>
      <c r="D6" s="114">
        <v>225739.1</v>
      </c>
      <c r="E6" s="149">
        <v>228228.26</v>
      </c>
    </row>
    <row r="7" spans="1:5" x14ac:dyDescent="0.25">
      <c r="A7" s="111" t="s">
        <v>187</v>
      </c>
      <c r="B7" s="110">
        <v>249672.56</v>
      </c>
      <c r="C7" s="114">
        <v>192239.79</v>
      </c>
      <c r="D7" s="114">
        <v>232048.5</v>
      </c>
      <c r="E7" s="149">
        <v>202182.13</v>
      </c>
    </row>
    <row r="8" spans="1:5" x14ac:dyDescent="0.25">
      <c r="A8" s="111" t="s">
        <v>188</v>
      </c>
      <c r="B8" s="110">
        <v>256359.17</v>
      </c>
      <c r="C8" s="114">
        <v>193646.1</v>
      </c>
      <c r="D8" s="114">
        <v>251867.34</v>
      </c>
      <c r="E8" s="149">
        <v>204634.39</v>
      </c>
    </row>
    <row r="9" spans="1:5" x14ac:dyDescent="0.25">
      <c r="A9" s="111" t="s">
        <v>189</v>
      </c>
      <c r="B9" s="110">
        <v>297716.38</v>
      </c>
      <c r="C9" s="114">
        <v>191805.17</v>
      </c>
      <c r="D9" s="155">
        <v>231721.93</v>
      </c>
      <c r="E9" s="149">
        <v>193340.83</v>
      </c>
    </row>
    <row r="10" spans="1:5" x14ac:dyDescent="0.25">
      <c r="A10" s="111" t="s">
        <v>190</v>
      </c>
      <c r="B10" s="110">
        <v>310888.24</v>
      </c>
      <c r="C10" s="114">
        <v>192824.46</v>
      </c>
      <c r="D10" s="114">
        <v>183586.9</v>
      </c>
      <c r="E10" s="149">
        <v>192281.43</v>
      </c>
    </row>
    <row r="11" spans="1:5" x14ac:dyDescent="0.25">
      <c r="A11" s="111" t="s">
        <v>191</v>
      </c>
      <c r="B11" s="110">
        <v>287879.18</v>
      </c>
      <c r="C11" s="114">
        <v>170036.11</v>
      </c>
      <c r="D11" s="114">
        <v>259406.88</v>
      </c>
      <c r="E11" s="149">
        <v>194747.03</v>
      </c>
    </row>
    <row r="12" spans="1:5" x14ac:dyDescent="0.25">
      <c r="A12" s="111" t="s">
        <v>192</v>
      </c>
      <c r="B12" s="110">
        <v>277572.63</v>
      </c>
      <c r="C12" s="114">
        <v>136790.69</v>
      </c>
      <c r="D12" s="114">
        <v>259406.88</v>
      </c>
      <c r="E12" s="149"/>
    </row>
    <row r="13" spans="1:5" x14ac:dyDescent="0.25">
      <c r="A13" s="111" t="s">
        <v>193</v>
      </c>
      <c r="B13" s="110">
        <v>282643.86</v>
      </c>
      <c r="C13" s="114">
        <v>143808.93</v>
      </c>
      <c r="D13" s="114">
        <v>240033.84</v>
      </c>
      <c r="E13" s="149"/>
    </row>
    <row r="14" spans="1:5" x14ac:dyDescent="0.25">
      <c r="A14" s="111" t="s">
        <v>194</v>
      </c>
      <c r="B14" s="110">
        <v>292527.44</v>
      </c>
      <c r="C14" s="110"/>
      <c r="D14" s="114">
        <v>257920.13</v>
      </c>
      <c r="E14" s="148"/>
    </row>
    <row r="15" spans="1:5" ht="16.5" thickBot="1" x14ac:dyDescent="0.3">
      <c r="A15" s="136" t="s">
        <v>196</v>
      </c>
      <c r="B15" s="150">
        <f>AVERAGE(B7:B14)</f>
        <v>281907.4325</v>
      </c>
      <c r="C15" s="150">
        <f>AVERAGE(C3:C13)</f>
        <v>203275.16454545455</v>
      </c>
      <c r="D15" s="150">
        <f>AVERAGE(D3:D14)</f>
        <v>232770.52916666665</v>
      </c>
      <c r="E15" s="151">
        <f>AVERAGE(E3:E11)</f>
        <v>227545.09666666668</v>
      </c>
    </row>
    <row r="16" spans="1:5" ht="15.75" thickTop="1" x14ac:dyDescent="0.25"/>
  </sheetData>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workbookViewId="0">
      <selection activeCell="N18" sqref="N17:N18"/>
    </sheetView>
  </sheetViews>
  <sheetFormatPr defaultRowHeight="15" x14ac:dyDescent="0.25"/>
  <cols>
    <col min="1" max="1" width="7.140625" bestFit="1" customWidth="1"/>
    <col min="2" max="2" width="8.85546875" bestFit="1" customWidth="1"/>
    <col min="3" max="3" width="17.7109375" bestFit="1" customWidth="1"/>
    <col min="4" max="4" width="20.42578125" customWidth="1"/>
    <col min="5" max="5" width="17.42578125" customWidth="1"/>
    <col min="6" max="6" width="16.28515625" customWidth="1"/>
    <col min="7" max="7" width="17.42578125" customWidth="1"/>
    <col min="8" max="8" width="15.42578125" bestFit="1" customWidth="1"/>
    <col min="9" max="9" width="14" customWidth="1"/>
    <col min="10" max="10" width="14.5703125" customWidth="1"/>
    <col min="11" max="11" width="12.5703125" bestFit="1" customWidth="1"/>
    <col min="12" max="12" width="18.28515625" customWidth="1"/>
    <col min="13" max="13" width="21" customWidth="1"/>
    <col min="14" max="14" width="37.140625" customWidth="1"/>
    <col min="15" max="15" width="21.7109375" customWidth="1"/>
    <col min="17" max="17" width="17.7109375" bestFit="1" customWidth="1"/>
    <col min="18" max="18" width="16.42578125" customWidth="1"/>
    <col min="19" max="19" width="12.5703125" customWidth="1"/>
    <col min="20" max="20" width="15.140625" customWidth="1"/>
    <col min="21" max="21" width="12.85546875" customWidth="1"/>
    <col min="22" max="22" width="12.140625" customWidth="1"/>
    <col min="23" max="24" width="13.42578125" customWidth="1"/>
    <col min="25" max="25" width="15.42578125" customWidth="1"/>
  </cols>
  <sheetData>
    <row r="1" spans="1:15" ht="15.75" x14ac:dyDescent="0.25">
      <c r="A1" s="61"/>
      <c r="B1" s="62"/>
      <c r="C1" s="62"/>
      <c r="D1" s="62"/>
      <c r="E1" s="62"/>
      <c r="F1" s="62"/>
      <c r="G1" s="63"/>
      <c r="H1" s="63"/>
      <c r="I1" s="63"/>
      <c r="J1" s="63"/>
      <c r="K1" s="63"/>
    </row>
    <row r="2" spans="1:15" ht="15.75" x14ac:dyDescent="0.25">
      <c r="A2" s="64"/>
      <c r="B2" s="63"/>
      <c r="C2" s="63" t="s">
        <v>150</v>
      </c>
      <c r="D2" s="63">
        <v>2016</v>
      </c>
      <c r="E2" s="63"/>
      <c r="F2" s="63"/>
      <c r="G2" s="63"/>
      <c r="H2" s="63"/>
      <c r="I2" s="63"/>
      <c r="J2" s="63"/>
      <c r="K2" s="63"/>
    </row>
    <row r="3" spans="1:15" ht="16.5" thickBot="1" x14ac:dyDescent="0.3">
      <c r="A3" s="64" t="s">
        <v>151</v>
      </c>
      <c r="B3" s="63" t="s">
        <v>152</v>
      </c>
      <c r="C3" s="65" t="s">
        <v>153</v>
      </c>
      <c r="D3" s="65" t="s">
        <v>154</v>
      </c>
      <c r="E3" s="65" t="s">
        <v>155</v>
      </c>
      <c r="F3" s="65" t="s">
        <v>156</v>
      </c>
      <c r="G3" s="63" t="s">
        <v>157</v>
      </c>
      <c r="H3" s="63" t="s">
        <v>158</v>
      </c>
      <c r="I3" s="63" t="s">
        <v>159</v>
      </c>
      <c r="J3" s="63" t="s">
        <v>160</v>
      </c>
      <c r="K3" s="63" t="s">
        <v>125</v>
      </c>
    </row>
    <row r="4" spans="1:15" x14ac:dyDescent="0.25">
      <c r="A4" s="66" t="s">
        <v>161</v>
      </c>
      <c r="B4" s="67">
        <v>24</v>
      </c>
      <c r="C4" s="68">
        <v>34</v>
      </c>
      <c r="D4" s="69">
        <f>C4*2080</f>
        <v>70720</v>
      </c>
      <c r="E4" s="70">
        <f>+D4*F13</f>
        <v>13061.984</v>
      </c>
      <c r="F4" s="69">
        <f>1472.22*12</f>
        <v>17666.64</v>
      </c>
      <c r="G4" s="69">
        <f>+D4*B13</f>
        <v>2263.04</v>
      </c>
      <c r="H4" s="69">
        <f>+D13*D4</f>
        <v>4384.6400000000003</v>
      </c>
      <c r="I4" s="69">
        <f>+D4*E13</f>
        <v>1025.44</v>
      </c>
      <c r="J4" s="69">
        <f>+D4*G13</f>
        <v>919.36</v>
      </c>
      <c r="K4" s="71">
        <f>SUM(D4:J4)</f>
        <v>110041.10399999999</v>
      </c>
    </row>
    <row r="5" spans="1:15" x14ac:dyDescent="0.25">
      <c r="A5" s="72" t="s">
        <v>162</v>
      </c>
      <c r="B5" s="112">
        <v>23</v>
      </c>
      <c r="C5" s="113">
        <v>27.87</v>
      </c>
      <c r="D5" s="114">
        <f>C5*2080</f>
        <v>57969.599999999999</v>
      </c>
      <c r="E5" s="115">
        <f>+D5*F14</f>
        <v>10706.985119999999</v>
      </c>
      <c r="F5" s="114">
        <f>1472.22*12</f>
        <v>17666.64</v>
      </c>
      <c r="G5" s="114">
        <f>+D5*B14</f>
        <v>1855.0272</v>
      </c>
      <c r="H5" s="114">
        <f>+D14*D5</f>
        <v>3594.1151999999997</v>
      </c>
      <c r="I5" s="114">
        <f>+D5*E14</f>
        <v>840.55920000000003</v>
      </c>
      <c r="J5" s="114">
        <f>+D5*G14</f>
        <v>753.60479999999995</v>
      </c>
      <c r="K5" s="77">
        <f>SUM(D5:J5)</f>
        <v>93386.531520000004</v>
      </c>
      <c r="O5" s="116"/>
    </row>
    <row r="6" spans="1:15" x14ac:dyDescent="0.25">
      <c r="A6" s="72" t="s">
        <v>163</v>
      </c>
      <c r="B6" s="112">
        <v>8</v>
      </c>
      <c r="C6" s="113">
        <v>21</v>
      </c>
      <c r="D6" s="114">
        <f>C6*2080</f>
        <v>43680</v>
      </c>
      <c r="E6" s="115">
        <f>+D6*F15</f>
        <v>6512.6880000000001</v>
      </c>
      <c r="F6" s="114">
        <f>1077.56*12</f>
        <v>12930.72</v>
      </c>
      <c r="G6" s="114">
        <f>+D6*B15</f>
        <v>2175.2639999999997</v>
      </c>
      <c r="H6" s="114">
        <f>+D15*D6</f>
        <v>2708.16</v>
      </c>
      <c r="I6" s="114">
        <f>+D6*E15</f>
        <v>633.36</v>
      </c>
      <c r="J6" s="114">
        <f>+D6*G15</f>
        <v>567.83999999999992</v>
      </c>
      <c r="K6" s="77">
        <f>SUM(D6:J6)</f>
        <v>69208.032000000007</v>
      </c>
    </row>
    <row r="7" spans="1:15" ht="15.75" thickBot="1" x14ac:dyDescent="0.3">
      <c r="A7" s="78" t="s">
        <v>164</v>
      </c>
      <c r="B7" s="79">
        <v>27</v>
      </c>
      <c r="C7" s="80">
        <v>16.97</v>
      </c>
      <c r="D7" s="81">
        <f>C7*2080</f>
        <v>35297.599999999999</v>
      </c>
      <c r="E7" s="82">
        <f>D7*F16</f>
        <v>5262.8721599999999</v>
      </c>
      <c r="F7" s="81">
        <f>1472.22*12</f>
        <v>17666.64</v>
      </c>
      <c r="G7" s="81">
        <f>+D7*B16</f>
        <v>1757.8204799999999</v>
      </c>
      <c r="H7" s="81">
        <f>+D16*D7</f>
        <v>2188.4512</v>
      </c>
      <c r="I7" s="81">
        <f>+D7*E16</f>
        <v>511.8152</v>
      </c>
      <c r="J7" s="81">
        <f>+D7*G16</f>
        <v>458.86879999999996</v>
      </c>
      <c r="K7" s="83">
        <f>SUM(D7:J7)</f>
        <v>63144.067839999996</v>
      </c>
    </row>
    <row r="8" spans="1:15" x14ac:dyDescent="0.25">
      <c r="C8" s="84" t="s">
        <v>125</v>
      </c>
      <c r="D8" s="85">
        <f t="shared" ref="D8:J8" si="0">SUM(D4:D7)</f>
        <v>207667.20000000001</v>
      </c>
      <c r="E8" s="85">
        <f t="shared" si="0"/>
        <v>35544.529280000002</v>
      </c>
      <c r="F8" s="85">
        <f t="shared" si="0"/>
        <v>65930.64</v>
      </c>
      <c r="G8" s="85">
        <f t="shared" si="0"/>
        <v>8051.151679999999</v>
      </c>
      <c r="H8" s="85">
        <f t="shared" si="0"/>
        <v>12875.366399999999</v>
      </c>
      <c r="I8" s="85">
        <f t="shared" si="0"/>
        <v>3011.1744000000003</v>
      </c>
      <c r="J8" s="85">
        <f t="shared" si="0"/>
        <v>2699.6736000000001</v>
      </c>
      <c r="K8" s="86">
        <f>SUM(D8:J8)</f>
        <v>335779.73536000005</v>
      </c>
    </row>
    <row r="11" spans="1:15" ht="15.75" x14ac:dyDescent="0.25">
      <c r="A11" s="87"/>
      <c r="B11" s="87"/>
      <c r="C11" s="87"/>
      <c r="D11" s="87"/>
      <c r="E11" s="87"/>
      <c r="F11" s="87"/>
      <c r="G11" s="87"/>
      <c r="H11" s="88"/>
      <c r="N11" s="116"/>
    </row>
    <row r="12" spans="1:15" ht="15.75" x14ac:dyDescent="0.25">
      <c r="A12" s="63"/>
      <c r="B12" s="63" t="s">
        <v>157</v>
      </c>
      <c r="C12" s="63" t="s">
        <v>165</v>
      </c>
      <c r="D12" s="63" t="s">
        <v>158</v>
      </c>
      <c r="E12" s="63" t="s">
        <v>159</v>
      </c>
      <c r="F12" s="63" t="s">
        <v>155</v>
      </c>
      <c r="G12" s="63" t="s">
        <v>160</v>
      </c>
      <c r="M12" s="116"/>
    </row>
    <row r="13" spans="1:15" x14ac:dyDescent="0.25">
      <c r="A13" s="89" t="s">
        <v>161</v>
      </c>
      <c r="B13" s="90">
        <v>3.2000000000000001E-2</v>
      </c>
      <c r="C13" s="91">
        <f>1601.52*12</f>
        <v>19218.239999999998</v>
      </c>
      <c r="D13" s="90">
        <v>6.2E-2</v>
      </c>
      <c r="E13" s="90">
        <v>1.4500000000000001E-2</v>
      </c>
      <c r="F13" s="90">
        <v>0.1847</v>
      </c>
      <c r="G13" s="90">
        <v>1.2999999999999999E-2</v>
      </c>
      <c r="H13" s="90">
        <f>SUM(D13:G13)+B13</f>
        <v>0.30620000000000003</v>
      </c>
    </row>
    <row r="14" spans="1:15" x14ac:dyDescent="0.25">
      <c r="A14" s="89" t="s">
        <v>162</v>
      </c>
      <c r="B14" s="90">
        <v>3.2000000000000001E-2</v>
      </c>
      <c r="C14" s="91">
        <f>1601.52*12</f>
        <v>19218.239999999998</v>
      </c>
      <c r="D14" s="90">
        <v>6.2E-2</v>
      </c>
      <c r="E14" s="90">
        <v>1.4500000000000001E-2</v>
      </c>
      <c r="F14" s="90">
        <v>0.1847</v>
      </c>
      <c r="G14" s="90">
        <v>1.2999999999999999E-2</v>
      </c>
      <c r="H14" s="90">
        <f>SUM(D14:G14)+B14</f>
        <v>0.30620000000000003</v>
      </c>
      <c r="M14" s="116"/>
    </row>
    <row r="15" spans="1:15" x14ac:dyDescent="0.25">
      <c r="A15" s="89" t="s">
        <v>163</v>
      </c>
      <c r="B15" s="90">
        <v>4.9799999999999997E-2</v>
      </c>
      <c r="C15" s="91">
        <f>1172.52*12</f>
        <v>14070.24</v>
      </c>
      <c r="D15" s="90">
        <v>6.2E-2</v>
      </c>
      <c r="E15" s="90">
        <v>1.4500000000000001E-2</v>
      </c>
      <c r="F15" s="90">
        <v>0.14910000000000001</v>
      </c>
      <c r="G15" s="90">
        <v>1.2999999999999999E-2</v>
      </c>
      <c r="H15" s="90">
        <f>SUM(D15:G15)+B15</f>
        <v>0.28840000000000005</v>
      </c>
    </row>
    <row r="16" spans="1:15" x14ac:dyDescent="0.25">
      <c r="A16" s="89" t="s">
        <v>164</v>
      </c>
      <c r="B16" s="90">
        <v>4.9799999999999997E-2</v>
      </c>
      <c r="C16" s="91">
        <f>1601.52*12</f>
        <v>19218.239999999998</v>
      </c>
      <c r="D16" s="90">
        <v>6.2E-2</v>
      </c>
      <c r="E16" s="90">
        <v>1.4500000000000001E-2</v>
      </c>
      <c r="F16" s="90">
        <v>0.14910000000000001</v>
      </c>
      <c r="G16" s="90">
        <v>1.2999999999999999E-2</v>
      </c>
      <c r="H16" s="90">
        <f>SUM(D16:G16)+B16</f>
        <v>0.28840000000000005</v>
      </c>
    </row>
    <row r="19" spans="1:14" ht="15.75" x14ac:dyDescent="0.25">
      <c r="A19" s="64"/>
      <c r="B19" s="63"/>
      <c r="C19" s="63" t="s">
        <v>150</v>
      </c>
      <c r="D19" s="63" t="s">
        <v>174</v>
      </c>
      <c r="G19" s="63"/>
      <c r="H19" s="63"/>
      <c r="I19" s="63"/>
      <c r="J19" s="63"/>
      <c r="K19" s="63"/>
      <c r="L19" s="63"/>
      <c r="M19" s="63"/>
    </row>
    <row r="20" spans="1:14" ht="16.5" thickBot="1" x14ac:dyDescent="0.3">
      <c r="A20" s="64" t="s">
        <v>151</v>
      </c>
      <c r="B20" s="63" t="s">
        <v>152</v>
      </c>
      <c r="C20" s="65" t="s">
        <v>153</v>
      </c>
      <c r="D20" s="65" t="s">
        <v>154</v>
      </c>
      <c r="E20" s="125" t="s">
        <v>176</v>
      </c>
      <c r="F20" s="126" t="s">
        <v>178</v>
      </c>
      <c r="G20" s="65" t="s">
        <v>155</v>
      </c>
      <c r="H20" s="65" t="s">
        <v>156</v>
      </c>
      <c r="I20" s="63" t="s">
        <v>157</v>
      </c>
      <c r="J20" s="63" t="s">
        <v>158</v>
      </c>
      <c r="K20" s="63" t="s">
        <v>159</v>
      </c>
      <c r="L20" s="63" t="s">
        <v>160</v>
      </c>
      <c r="M20" s="63" t="s">
        <v>179</v>
      </c>
    </row>
    <row r="21" spans="1:14" ht="15.75" thickTop="1" x14ac:dyDescent="0.25">
      <c r="A21" s="127" t="s">
        <v>161</v>
      </c>
      <c r="B21" s="128">
        <v>24</v>
      </c>
      <c r="C21" s="129">
        <v>34</v>
      </c>
      <c r="D21" s="130">
        <f>D4*0.03+D4</f>
        <v>72841.600000000006</v>
      </c>
      <c r="E21" s="131">
        <f>'Overtime 2009-2016'!J11*0.6</f>
        <v>13238.946363216224</v>
      </c>
      <c r="F21" s="131">
        <f>SUM(D21:E21)</f>
        <v>86080.546363216228</v>
      </c>
      <c r="G21" s="132">
        <f>F21*F13</f>
        <v>15899.076913286037</v>
      </c>
      <c r="H21" s="130">
        <f>1601.52*12</f>
        <v>19218.239999999998</v>
      </c>
      <c r="I21" s="130">
        <f>F21*B13</f>
        <v>2754.5774836229193</v>
      </c>
      <c r="J21" s="130">
        <f>F21*D13</f>
        <v>5336.9938745194058</v>
      </c>
      <c r="K21" s="130">
        <f>F21*E13</f>
        <v>1248.1679222666353</v>
      </c>
      <c r="L21" s="130">
        <f>F21*G13</f>
        <v>1119.0471027218109</v>
      </c>
      <c r="M21" s="133">
        <f>SUM(F21:L21)</f>
        <v>131656.64965963305</v>
      </c>
      <c r="N21" s="116"/>
    </row>
    <row r="22" spans="1:14" x14ac:dyDescent="0.25">
      <c r="A22" s="111" t="s">
        <v>162</v>
      </c>
      <c r="B22" s="112">
        <v>23</v>
      </c>
      <c r="C22" s="113">
        <v>27.87</v>
      </c>
      <c r="D22" s="114">
        <f>D5*0.03+D5</f>
        <v>59708.688000000002</v>
      </c>
      <c r="E22" s="134">
        <f>'Overtime 2009-2016'!J11*0.2</f>
        <v>4412.9821210720756</v>
      </c>
      <c r="F22" s="134">
        <f>SUM(D22:E22)</f>
        <v>64121.670121072078</v>
      </c>
      <c r="G22" s="115">
        <f>F22*F14</f>
        <v>11843.272471362014</v>
      </c>
      <c r="H22" s="114">
        <f>1601.52*12</f>
        <v>19218.239999999998</v>
      </c>
      <c r="I22" s="114">
        <f>F22*B14</f>
        <v>2051.8934438743067</v>
      </c>
      <c r="J22" s="114">
        <f>F22*D14</f>
        <v>3975.5435475064687</v>
      </c>
      <c r="K22" s="114">
        <f>F22*E14</f>
        <v>929.76421675554514</v>
      </c>
      <c r="L22" s="114">
        <f>F22*G14</f>
        <v>833.58171157393701</v>
      </c>
      <c r="M22" s="135">
        <f>SUM(F22:L22)</f>
        <v>102973.96551214434</v>
      </c>
      <c r="N22" s="116"/>
    </row>
    <row r="23" spans="1:14" ht="15.75" thickBot="1" x14ac:dyDescent="0.3">
      <c r="A23" s="111" t="s">
        <v>163</v>
      </c>
      <c r="B23" s="112">
        <v>8</v>
      </c>
      <c r="C23" s="113">
        <v>21</v>
      </c>
      <c r="D23" s="114">
        <f>D6*0.03+D6</f>
        <v>44990.400000000001</v>
      </c>
      <c r="E23" s="134">
        <f>'Overtime 2009-2016'!J11*0.2</f>
        <v>4412.9821210720756</v>
      </c>
      <c r="F23" s="134">
        <f>SUM(D23:E23)</f>
        <v>49403.382121072078</v>
      </c>
      <c r="G23" s="115">
        <f>F23*F15</f>
        <v>7366.0442742518471</v>
      </c>
      <c r="H23" s="114">
        <f>1172.62*12</f>
        <v>14071.439999999999</v>
      </c>
      <c r="I23" s="114">
        <f>F23*B15</f>
        <v>2460.2884296293892</v>
      </c>
      <c r="J23" s="114">
        <f>F23*D15</f>
        <v>3063.0096915064687</v>
      </c>
      <c r="K23" s="114">
        <f>F23*E15</f>
        <v>716.34904075554516</v>
      </c>
      <c r="L23" s="114">
        <f>F23*G15</f>
        <v>642.24396757393697</v>
      </c>
      <c r="M23" s="135">
        <f>SUM(F23:L23)</f>
        <v>77722.757524789282</v>
      </c>
      <c r="N23" s="116"/>
    </row>
    <row r="24" spans="1:14" ht="16.5" thickTop="1" x14ac:dyDescent="0.25">
      <c r="A24" s="111" t="s">
        <v>164</v>
      </c>
      <c r="B24" s="112">
        <v>27</v>
      </c>
      <c r="C24" s="113">
        <v>16.97</v>
      </c>
      <c r="D24" s="114">
        <f>D7*0.03+D7</f>
        <v>36356.527999999998</v>
      </c>
      <c r="E24" s="110">
        <v>0</v>
      </c>
      <c r="F24" s="134">
        <f>SUM(D24:E24)</f>
        <v>36356.527999999998</v>
      </c>
      <c r="G24" s="115">
        <f>F24*F16</f>
        <v>5420.7583248000001</v>
      </c>
      <c r="H24" s="114">
        <f>1601.52*12</f>
        <v>19218.239999999998</v>
      </c>
      <c r="I24" s="114">
        <f>F24*B16</f>
        <v>1810.5550943999999</v>
      </c>
      <c r="J24" s="114">
        <f>F24*D16</f>
        <v>2254.1047359999998</v>
      </c>
      <c r="K24" s="114">
        <f>F24*E16</f>
        <v>527.16965600000003</v>
      </c>
      <c r="L24" s="114">
        <f>F24*G16</f>
        <v>472.63486399999994</v>
      </c>
      <c r="M24" s="135">
        <f>SUM(F24:L24)</f>
        <v>66059.99067520001</v>
      </c>
      <c r="N24" s="147" t="s">
        <v>181</v>
      </c>
    </row>
    <row r="25" spans="1:14" ht="15.75" thickBot="1" x14ac:dyDescent="0.3">
      <c r="A25" s="136"/>
      <c r="B25" s="137"/>
      <c r="C25" s="138" t="s">
        <v>125</v>
      </c>
      <c r="D25" s="139">
        <f t="shared" ref="D25:M25" si="1">SUM(D21:D24)</f>
        <v>213897.21599999999</v>
      </c>
      <c r="E25" s="139">
        <f t="shared" si="1"/>
        <v>22064.910605360375</v>
      </c>
      <c r="F25" s="139">
        <f t="shared" si="1"/>
        <v>235962.12660536036</v>
      </c>
      <c r="G25" s="142">
        <f t="shared" si="1"/>
        <v>40529.1519836999</v>
      </c>
      <c r="H25" s="142">
        <f t="shared" si="1"/>
        <v>71726.16</v>
      </c>
      <c r="I25" s="142">
        <f t="shared" si="1"/>
        <v>9077.3144515266158</v>
      </c>
      <c r="J25" s="142">
        <f t="shared" si="1"/>
        <v>14629.651849532342</v>
      </c>
      <c r="K25" s="142">
        <f t="shared" si="1"/>
        <v>3421.4508357777254</v>
      </c>
      <c r="L25" s="142">
        <f t="shared" si="1"/>
        <v>3067.5076458696849</v>
      </c>
      <c r="M25" s="140">
        <f t="shared" si="1"/>
        <v>378413.36337176664</v>
      </c>
      <c r="N25" s="146">
        <f>M25+5200+5050</f>
        <v>388663.36337176664</v>
      </c>
    </row>
    <row r="26" spans="1:14" ht="15.75" thickTop="1" x14ac:dyDescent="0.25">
      <c r="D26" s="85"/>
    </row>
    <row r="27" spans="1:14" ht="15.75" thickBot="1" x14ac:dyDescent="0.3"/>
    <row r="28" spans="1:14" ht="15.75" thickBot="1" x14ac:dyDescent="0.3">
      <c r="A28" s="109"/>
      <c r="B28" s="109"/>
      <c r="C28" s="109" t="s">
        <v>150</v>
      </c>
      <c r="D28" s="109" t="s">
        <v>174</v>
      </c>
      <c r="E28" s="109"/>
      <c r="F28" s="109"/>
      <c r="G28" s="109"/>
      <c r="H28" s="109"/>
      <c r="I28" s="109"/>
      <c r="J28" s="109"/>
      <c r="K28" s="109"/>
    </row>
    <row r="29" spans="1:14" ht="15.75" thickBot="1" x14ac:dyDescent="0.3">
      <c r="A29" s="109" t="s">
        <v>151</v>
      </c>
      <c r="B29" s="109" t="s">
        <v>152</v>
      </c>
      <c r="C29" s="109" t="s">
        <v>153</v>
      </c>
      <c r="D29" s="109" t="s">
        <v>154</v>
      </c>
      <c r="E29" s="109" t="s">
        <v>155</v>
      </c>
      <c r="F29" s="109" t="s">
        <v>156</v>
      </c>
      <c r="G29" s="109" t="s">
        <v>157</v>
      </c>
      <c r="H29" s="109" t="s">
        <v>158</v>
      </c>
      <c r="I29" s="109" t="s">
        <v>159</v>
      </c>
      <c r="J29" s="109" t="s">
        <v>160</v>
      </c>
      <c r="K29" s="109" t="s">
        <v>125</v>
      </c>
      <c r="L29" s="125" t="s">
        <v>176</v>
      </c>
      <c r="M29" s="125" t="s">
        <v>177</v>
      </c>
    </row>
    <row r="30" spans="1:14" ht="15.75" thickBot="1" x14ac:dyDescent="0.3">
      <c r="A30" s="67" t="s">
        <v>161</v>
      </c>
      <c r="B30" s="67">
        <v>24</v>
      </c>
      <c r="C30" s="67">
        <v>34</v>
      </c>
      <c r="D30" s="68">
        <v>72841.600000000006</v>
      </c>
      <c r="E30" s="68">
        <v>13453.843520000002</v>
      </c>
      <c r="F30" s="68">
        <v>19218.239999999998</v>
      </c>
      <c r="G30" s="68">
        <v>2330.9312000000004</v>
      </c>
      <c r="H30" s="68">
        <v>4516.1792000000005</v>
      </c>
      <c r="I30" s="68">
        <v>1056.2032000000002</v>
      </c>
      <c r="J30" s="68">
        <v>946.94080000000008</v>
      </c>
      <c r="K30" s="68">
        <v>114363.93792</v>
      </c>
      <c r="L30" s="116">
        <f>'Overtime 2009-2016'!J11*0.6</f>
        <v>13238.946363216224</v>
      </c>
      <c r="M30" s="116">
        <f>SUM(K30:L30)</f>
        <v>127602.88428321622</v>
      </c>
    </row>
    <row r="31" spans="1:14" ht="15.75" thickBot="1" x14ac:dyDescent="0.3">
      <c r="A31" s="67" t="s">
        <v>162</v>
      </c>
      <c r="B31" s="67">
        <v>23</v>
      </c>
      <c r="C31" s="67">
        <v>27.87</v>
      </c>
      <c r="D31" s="68">
        <v>59708.688000000002</v>
      </c>
      <c r="E31" s="68">
        <v>11028.194673600001</v>
      </c>
      <c r="F31" s="68">
        <v>19218.239999999998</v>
      </c>
      <c r="G31" s="68">
        <v>1910.6780160000001</v>
      </c>
      <c r="H31" s="68">
        <v>3701.9386560000003</v>
      </c>
      <c r="I31" s="68">
        <v>865.77597600000013</v>
      </c>
      <c r="J31" s="68">
        <v>776.21294399999999</v>
      </c>
      <c r="K31" s="68">
        <v>97209.728265600017</v>
      </c>
      <c r="L31" s="116">
        <f>'Overtime 2009-2016'!J11*0.2</f>
        <v>4412.9821210720756</v>
      </c>
      <c r="M31" s="116">
        <f>SUM(K31:L31)</f>
        <v>101622.71038667209</v>
      </c>
    </row>
    <row r="32" spans="1:14" ht="15.75" thickBot="1" x14ac:dyDescent="0.3">
      <c r="A32" s="67" t="s">
        <v>163</v>
      </c>
      <c r="B32" s="67">
        <v>8</v>
      </c>
      <c r="C32" s="67">
        <v>21</v>
      </c>
      <c r="D32" s="68">
        <v>44990.400000000001</v>
      </c>
      <c r="E32" s="68">
        <v>6708.0686400000004</v>
      </c>
      <c r="F32" s="68">
        <v>14071.439999999999</v>
      </c>
      <c r="G32" s="68">
        <v>2240.5219200000001</v>
      </c>
      <c r="H32" s="68">
        <v>2789.4048000000003</v>
      </c>
      <c r="I32" s="68">
        <v>652.36080000000004</v>
      </c>
      <c r="J32" s="68">
        <v>584.87519999999995</v>
      </c>
      <c r="K32" s="68">
        <v>72037.071359999987</v>
      </c>
      <c r="L32" s="116">
        <f>'Overtime 2009-2016'!J11*0.2</f>
        <v>4412.9821210720756</v>
      </c>
      <c r="M32" s="116">
        <f>SUM(K32:L32)</f>
        <v>76450.053481072056</v>
      </c>
    </row>
    <row r="33" spans="1:13" ht="15.75" thickBot="1" x14ac:dyDescent="0.3">
      <c r="A33" s="67" t="s">
        <v>164</v>
      </c>
      <c r="B33" s="67">
        <v>27</v>
      </c>
      <c r="C33" s="67">
        <v>16.97</v>
      </c>
      <c r="D33" s="68">
        <v>36356.527999999998</v>
      </c>
      <c r="E33" s="68">
        <v>5420.7583248000001</v>
      </c>
      <c r="F33" s="68">
        <v>19218.239999999998</v>
      </c>
      <c r="G33" s="68">
        <v>1810.5550943999999</v>
      </c>
      <c r="H33" s="68">
        <v>2254.1047359999998</v>
      </c>
      <c r="I33" s="68">
        <v>527.16965600000003</v>
      </c>
      <c r="J33" s="68">
        <v>472.63486399999994</v>
      </c>
      <c r="K33" s="68">
        <v>66059.99067520001</v>
      </c>
      <c r="M33" s="116">
        <f>K33</f>
        <v>66059.99067520001</v>
      </c>
    </row>
    <row r="34" spans="1:13" x14ac:dyDescent="0.25">
      <c r="A34" s="67"/>
      <c r="B34" s="67"/>
      <c r="C34" s="67" t="s">
        <v>125</v>
      </c>
      <c r="D34" s="68">
        <v>213897.21599999999</v>
      </c>
      <c r="E34" s="68">
        <v>36610.865158400004</v>
      </c>
      <c r="F34" s="68">
        <v>71726.16</v>
      </c>
      <c r="G34" s="68">
        <v>8292.6862304000006</v>
      </c>
      <c r="H34" s="68">
        <v>13261.627392</v>
      </c>
      <c r="I34" s="68">
        <v>3101.5096320000002</v>
      </c>
      <c r="J34" s="68">
        <v>2780.6638080000002</v>
      </c>
      <c r="K34" s="68">
        <v>349670.72822079994</v>
      </c>
    </row>
    <row r="35" spans="1:13" x14ac:dyDescent="0.25">
      <c r="M35" s="116">
        <f>SUM(M30:M34)</f>
        <v>371735.6388261604</v>
      </c>
    </row>
    <row r="39" spans="1:13" x14ac:dyDescent="0.25">
      <c r="M39" s="116">
        <f>G25+I25</f>
        <v>49606.466435226517</v>
      </c>
    </row>
  </sheetData>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O40"/>
  <sheetViews>
    <sheetView workbookViewId="0">
      <selection activeCell="E22" sqref="E22"/>
    </sheetView>
  </sheetViews>
  <sheetFormatPr defaultRowHeight="15" x14ac:dyDescent="0.25"/>
  <cols>
    <col min="1" max="1" width="7.140625" bestFit="1" customWidth="1"/>
    <col min="2" max="2" width="8.85546875" bestFit="1" customWidth="1"/>
    <col min="3" max="3" width="17.7109375" bestFit="1" customWidth="1"/>
    <col min="4" max="4" width="20.42578125" customWidth="1"/>
    <col min="5" max="5" width="17.42578125" customWidth="1"/>
    <col min="6" max="6" width="16.28515625" customWidth="1"/>
    <col min="7" max="7" width="17.42578125" customWidth="1"/>
    <col min="8" max="8" width="15.42578125" bestFit="1" customWidth="1"/>
    <col min="9" max="9" width="14" customWidth="1"/>
    <col min="10" max="10" width="14.5703125" customWidth="1"/>
    <col min="11" max="11" width="12.5703125" bestFit="1" customWidth="1"/>
    <col min="12" max="12" width="18.28515625" customWidth="1"/>
    <col min="13" max="13" width="21" customWidth="1"/>
    <col min="14" max="14" width="37.140625" customWidth="1"/>
    <col min="15" max="15" width="21.7109375" customWidth="1"/>
    <col min="17" max="17" width="17.7109375" bestFit="1" customWidth="1"/>
    <col min="18" max="18" width="16.42578125" customWidth="1"/>
    <col min="19" max="19" width="12.5703125" customWidth="1"/>
    <col min="20" max="20" width="15.140625" customWidth="1"/>
    <col min="21" max="21" width="12.85546875" customWidth="1"/>
    <col min="22" max="22" width="12.140625" customWidth="1"/>
    <col min="23" max="24" width="13.42578125" customWidth="1"/>
    <col min="25" max="25" width="15.42578125" customWidth="1"/>
  </cols>
  <sheetData>
    <row r="1" spans="1:15" ht="15.75" x14ac:dyDescent="0.25">
      <c r="A1" s="61"/>
      <c r="B1" s="62"/>
      <c r="C1" s="62"/>
      <c r="D1" s="62"/>
      <c r="E1" s="62"/>
      <c r="F1" s="62"/>
      <c r="G1" s="63"/>
      <c r="H1" s="63"/>
      <c r="I1" s="63"/>
      <c r="J1" s="63"/>
      <c r="K1" s="63"/>
    </row>
    <row r="2" spans="1:15" ht="15.75" x14ac:dyDescent="0.25">
      <c r="A2" s="64"/>
      <c r="B2" s="63"/>
      <c r="C2" s="63" t="s">
        <v>150</v>
      </c>
      <c r="D2" s="63">
        <v>2018</v>
      </c>
      <c r="E2" s="63"/>
      <c r="F2" s="63"/>
      <c r="G2" s="63"/>
      <c r="H2" s="63"/>
      <c r="I2" s="63"/>
      <c r="J2" s="63"/>
      <c r="K2" s="63"/>
    </row>
    <row r="3" spans="1:15" ht="16.5" thickBot="1" x14ac:dyDescent="0.3">
      <c r="A3" s="64" t="s">
        <v>151</v>
      </c>
      <c r="B3" s="63" t="s">
        <v>152</v>
      </c>
      <c r="C3" s="65" t="s">
        <v>153</v>
      </c>
      <c r="D3" s="65" t="s">
        <v>154</v>
      </c>
      <c r="E3" s="65" t="s">
        <v>155</v>
      </c>
      <c r="F3" s="65" t="s">
        <v>156</v>
      </c>
      <c r="G3" s="63" t="s">
        <v>157</v>
      </c>
      <c r="H3" s="63" t="s">
        <v>158</v>
      </c>
      <c r="I3" s="63" t="s">
        <v>159</v>
      </c>
      <c r="J3" s="63" t="s">
        <v>160</v>
      </c>
      <c r="K3" s="63" t="s">
        <v>125</v>
      </c>
    </row>
    <row r="4" spans="1:15" x14ac:dyDescent="0.25">
      <c r="A4" s="66" t="s">
        <v>161</v>
      </c>
      <c r="B4" s="67">
        <v>24</v>
      </c>
      <c r="C4" s="68">
        <v>35.020000000000003</v>
      </c>
      <c r="D4" s="69">
        <f>C4*2080</f>
        <v>72841.600000000006</v>
      </c>
      <c r="E4" s="70">
        <f>+D4*F13</f>
        <v>13453.843520000002</v>
      </c>
      <c r="F4" s="69">
        <f>1728.26*12</f>
        <v>20739.12</v>
      </c>
      <c r="G4" s="69">
        <f>+D4*B13</f>
        <v>2330.9312000000004</v>
      </c>
      <c r="H4" s="69">
        <f>+D13*D4</f>
        <v>4516.1792000000005</v>
      </c>
      <c r="I4" s="69">
        <f>+D4*E13</f>
        <v>1056.2032000000002</v>
      </c>
      <c r="J4" s="69">
        <f>+D4*G13</f>
        <v>946.94080000000008</v>
      </c>
      <c r="K4" s="71">
        <f>SUM(D4:J4)</f>
        <v>115884.81792</v>
      </c>
    </row>
    <row r="5" spans="1:15" x14ac:dyDescent="0.25">
      <c r="A5" s="72" t="s">
        <v>162</v>
      </c>
      <c r="B5" s="73">
        <v>23</v>
      </c>
      <c r="C5" s="74">
        <v>28.71</v>
      </c>
      <c r="D5" s="75">
        <f>C5*2080</f>
        <v>59716.800000000003</v>
      </c>
      <c r="E5" s="76">
        <f>+D5*F14</f>
        <v>11029.69296</v>
      </c>
      <c r="F5" s="75">
        <f>1728.26*12</f>
        <v>20739.12</v>
      </c>
      <c r="G5" s="75">
        <f>+D5*B14</f>
        <v>1910.9376000000002</v>
      </c>
      <c r="H5" s="75">
        <f>+D14*D5</f>
        <v>3702.4416000000001</v>
      </c>
      <c r="I5" s="75">
        <f>+D5*E14</f>
        <v>865.89360000000011</v>
      </c>
      <c r="J5" s="75">
        <f>+D5*G14</f>
        <v>776.3184</v>
      </c>
      <c r="K5" s="77">
        <f>SUM(D5:J5)</f>
        <v>98741.204160000008</v>
      </c>
      <c r="O5" s="92"/>
    </row>
    <row r="6" spans="1:15" x14ac:dyDescent="0.25">
      <c r="A6" s="72" t="s">
        <v>163</v>
      </c>
      <c r="B6" s="73">
        <v>8</v>
      </c>
      <c r="C6" s="74">
        <v>22.28</v>
      </c>
      <c r="D6" s="75">
        <f>C6*2080</f>
        <v>46342.400000000001</v>
      </c>
      <c r="E6" s="76">
        <f>+D6*F15</f>
        <v>7734.5465599999998</v>
      </c>
      <c r="F6" s="75">
        <f>1265.74*12</f>
        <v>15188.880000000001</v>
      </c>
      <c r="G6" s="75">
        <f>+D6*B15</f>
        <v>2307.8515199999997</v>
      </c>
      <c r="H6" s="75">
        <f>+D15*D6</f>
        <v>2873.2287999999999</v>
      </c>
      <c r="I6" s="75">
        <f>+D6*E15</f>
        <v>671.96480000000008</v>
      </c>
      <c r="J6" s="75">
        <f>+D6*G15</f>
        <v>602.45119999999997</v>
      </c>
      <c r="K6" s="77">
        <f>SUM(D6:J6)</f>
        <v>75721.322879999992</v>
      </c>
    </row>
    <row r="7" spans="1:15" ht="15.75" thickBot="1" x14ac:dyDescent="0.3">
      <c r="A7" s="78" t="s">
        <v>164</v>
      </c>
      <c r="B7" s="79">
        <v>27</v>
      </c>
      <c r="C7" s="80">
        <v>17.5</v>
      </c>
      <c r="D7" s="81">
        <f>C7*2080</f>
        <v>36400</v>
      </c>
      <c r="E7" s="82">
        <f>D7*F16</f>
        <v>6075.16</v>
      </c>
      <c r="F7" s="81">
        <f>1728.26*12</f>
        <v>20739.12</v>
      </c>
      <c r="G7" s="81">
        <f>+D7*B16</f>
        <v>1812.7199999999998</v>
      </c>
      <c r="H7" s="81">
        <f>+D16*D7</f>
        <v>2256.8000000000002</v>
      </c>
      <c r="I7" s="81">
        <f>+D7*E16</f>
        <v>527.80000000000007</v>
      </c>
      <c r="J7" s="81">
        <f>+D7*G16</f>
        <v>473.2</v>
      </c>
      <c r="K7" s="83">
        <f>SUM(D7:J7)</f>
        <v>68284.800000000003</v>
      </c>
    </row>
    <row r="8" spans="1:15" x14ac:dyDescent="0.25">
      <c r="C8" s="84" t="s">
        <v>125</v>
      </c>
      <c r="D8" s="85">
        <f t="shared" ref="D8:J8" si="0">SUM(D4:D7)</f>
        <v>215300.80000000002</v>
      </c>
      <c r="E8" s="85">
        <f t="shared" si="0"/>
        <v>38293.243040000001</v>
      </c>
      <c r="F8" s="85">
        <f t="shared" si="0"/>
        <v>77406.239999999991</v>
      </c>
      <c r="G8" s="85">
        <f t="shared" si="0"/>
        <v>8362.4403199999997</v>
      </c>
      <c r="H8" s="85">
        <f t="shared" si="0"/>
        <v>13348.649600000001</v>
      </c>
      <c r="I8" s="85">
        <f t="shared" si="0"/>
        <v>3121.8616000000006</v>
      </c>
      <c r="J8" s="85">
        <f t="shared" si="0"/>
        <v>2798.9103999999998</v>
      </c>
      <c r="K8" s="86">
        <f>SUM(D8:J8)</f>
        <v>358632.14496000001</v>
      </c>
    </row>
    <row r="11" spans="1:15" ht="15.75" x14ac:dyDescent="0.25">
      <c r="A11" s="87"/>
      <c r="B11" s="87"/>
      <c r="C11" s="87"/>
      <c r="D11" s="87"/>
      <c r="E11" s="87"/>
      <c r="F11" s="87"/>
      <c r="G11" s="87"/>
      <c r="H11" s="88"/>
      <c r="N11" s="92"/>
    </row>
    <row r="12" spans="1:15" ht="15.75" x14ac:dyDescent="0.25">
      <c r="A12" s="63"/>
      <c r="B12" s="63" t="s">
        <v>157</v>
      </c>
      <c r="C12" s="63" t="s">
        <v>165</v>
      </c>
      <c r="D12" s="63" t="s">
        <v>158</v>
      </c>
      <c r="E12" s="63" t="s">
        <v>159</v>
      </c>
      <c r="F12" s="63" t="s">
        <v>155</v>
      </c>
      <c r="G12" s="63" t="s">
        <v>160</v>
      </c>
      <c r="M12" s="92"/>
    </row>
    <row r="13" spans="1:15" x14ac:dyDescent="0.25">
      <c r="A13" s="89" t="s">
        <v>161</v>
      </c>
      <c r="B13" s="90">
        <v>3.2000000000000001E-2</v>
      </c>
      <c r="C13" s="91">
        <f>1601.52*12</f>
        <v>19218.239999999998</v>
      </c>
      <c r="D13" s="90">
        <v>6.2E-2</v>
      </c>
      <c r="E13" s="90">
        <v>1.4500000000000001E-2</v>
      </c>
      <c r="F13" s="90">
        <v>0.1847</v>
      </c>
      <c r="G13" s="90">
        <v>1.2999999999999999E-2</v>
      </c>
      <c r="H13" s="90">
        <f>SUM(D13:G13)+B13</f>
        <v>0.30620000000000003</v>
      </c>
    </row>
    <row r="14" spans="1:15" x14ac:dyDescent="0.25">
      <c r="A14" s="89" t="s">
        <v>162</v>
      </c>
      <c r="B14" s="90">
        <v>3.2000000000000001E-2</v>
      </c>
      <c r="C14" s="91">
        <f>1601.52*12</f>
        <v>19218.239999999998</v>
      </c>
      <c r="D14" s="90">
        <v>6.2E-2</v>
      </c>
      <c r="E14" s="90">
        <v>1.4500000000000001E-2</v>
      </c>
      <c r="F14" s="90">
        <v>0.1847</v>
      </c>
      <c r="G14" s="90">
        <v>1.2999999999999999E-2</v>
      </c>
      <c r="H14" s="90">
        <f>SUM(D14:G14)+B14</f>
        <v>0.30620000000000003</v>
      </c>
      <c r="M14" s="92"/>
    </row>
    <row r="15" spans="1:15" x14ac:dyDescent="0.25">
      <c r="A15" s="89" t="s">
        <v>163</v>
      </c>
      <c r="B15" s="90">
        <v>4.9799999999999997E-2</v>
      </c>
      <c r="C15" s="91">
        <f>1172.52*12</f>
        <v>14070.24</v>
      </c>
      <c r="D15" s="90">
        <v>6.2E-2</v>
      </c>
      <c r="E15" s="90">
        <v>1.4500000000000001E-2</v>
      </c>
      <c r="F15" s="90">
        <v>0.16689999999999999</v>
      </c>
      <c r="G15" s="90">
        <v>1.2999999999999999E-2</v>
      </c>
      <c r="H15" s="90">
        <f>SUM(D15:G15)+B15</f>
        <v>0.30620000000000003</v>
      </c>
    </row>
    <row r="16" spans="1:15" x14ac:dyDescent="0.25">
      <c r="A16" s="89" t="s">
        <v>164</v>
      </c>
      <c r="B16" s="90">
        <v>4.9799999999999997E-2</v>
      </c>
      <c r="C16" s="91">
        <f>1601.52*12</f>
        <v>19218.239999999998</v>
      </c>
      <c r="D16" s="90">
        <v>6.2E-2</v>
      </c>
      <c r="E16" s="90">
        <v>1.4500000000000001E-2</v>
      </c>
      <c r="F16" s="90">
        <v>0.16689999999999999</v>
      </c>
      <c r="G16" s="90">
        <v>1.2999999999999999E-2</v>
      </c>
      <c r="H16" s="90">
        <f>SUM(D16:G16)+B16</f>
        <v>0.30620000000000003</v>
      </c>
    </row>
    <row r="17" spans="1:14" x14ac:dyDescent="0.25">
      <c r="A17" s="60"/>
      <c r="B17" s="90"/>
      <c r="C17" s="91"/>
      <c r="D17" s="90"/>
      <c r="E17" s="90"/>
      <c r="F17" s="90"/>
      <c r="G17" s="90"/>
      <c r="H17" s="90"/>
    </row>
    <row r="18" spans="1:14" ht="15.75" x14ac:dyDescent="0.25">
      <c r="A18" s="64"/>
      <c r="B18" s="63"/>
      <c r="C18" s="63" t="s">
        <v>150</v>
      </c>
      <c r="D18" s="63" t="s">
        <v>198</v>
      </c>
      <c r="E18" s="184"/>
      <c r="F18" s="184"/>
      <c r="G18" s="63"/>
      <c r="H18" s="63"/>
      <c r="I18" s="63"/>
      <c r="J18" s="63"/>
      <c r="K18" s="63"/>
      <c r="L18" s="63"/>
      <c r="M18" s="63"/>
    </row>
    <row r="19" spans="1:14" ht="16.5" thickBot="1" x14ac:dyDescent="0.3">
      <c r="A19" s="64" t="s">
        <v>151</v>
      </c>
      <c r="B19" s="63" t="s">
        <v>152</v>
      </c>
      <c r="C19" s="65" t="s">
        <v>153</v>
      </c>
      <c r="D19" s="65" t="s">
        <v>154</v>
      </c>
      <c r="E19" s="125" t="s">
        <v>176</v>
      </c>
      <c r="F19" s="126" t="s">
        <v>178</v>
      </c>
      <c r="G19" s="65" t="s">
        <v>155</v>
      </c>
      <c r="H19" s="65" t="s">
        <v>156</v>
      </c>
      <c r="I19" s="63" t="s">
        <v>157</v>
      </c>
      <c r="J19" s="63" t="s">
        <v>158</v>
      </c>
      <c r="K19" s="63" t="s">
        <v>159</v>
      </c>
      <c r="L19" s="63" t="s">
        <v>160</v>
      </c>
      <c r="M19" s="63" t="s">
        <v>179</v>
      </c>
    </row>
    <row r="20" spans="1:14" ht="15.75" thickTop="1" x14ac:dyDescent="0.25">
      <c r="A20" s="127" t="s">
        <v>161</v>
      </c>
      <c r="B20" s="128">
        <v>24</v>
      </c>
      <c r="C20" s="129">
        <f>C4*0.22+35.02</f>
        <v>42.724400000000003</v>
      </c>
      <c r="D20" s="130">
        <f>C20*2080</f>
        <v>88866.752000000008</v>
      </c>
      <c r="E20" s="131">
        <f>'Overtime 2009-2016'!J11*0.6</f>
        <v>13238.946363216224</v>
      </c>
      <c r="F20" s="131">
        <f>SUM(D20:E20)</f>
        <v>102105.69836321623</v>
      </c>
      <c r="G20" s="132">
        <f>F20*F13</f>
        <v>18858.922487686039</v>
      </c>
      <c r="H20" s="130">
        <f>1728.26*12</f>
        <v>20739.12</v>
      </c>
      <c r="I20" s="130">
        <f>F20*B13</f>
        <v>3267.3823476229195</v>
      </c>
      <c r="J20" s="130">
        <f>F20*D13</f>
        <v>6330.5532985194059</v>
      </c>
      <c r="K20" s="130">
        <f>F20*E13</f>
        <v>1480.5326262666354</v>
      </c>
      <c r="L20" s="130">
        <f>F20*G13</f>
        <v>1327.374078721811</v>
      </c>
      <c r="M20" s="133">
        <f>SUM(F20:L20)</f>
        <v>154109.58320203304</v>
      </c>
      <c r="N20" s="116"/>
    </row>
    <row r="21" spans="1:14" x14ac:dyDescent="0.25">
      <c r="A21" s="111" t="s">
        <v>162</v>
      </c>
      <c r="B21" s="112">
        <v>23</v>
      </c>
      <c r="C21" s="113">
        <f>C5*0.2+28.71</f>
        <v>34.451999999999998</v>
      </c>
      <c r="D21" s="114">
        <f>C21*2080</f>
        <v>71660.160000000003</v>
      </c>
      <c r="E21" s="134">
        <f>'Overtime 2009-2016'!J11*0.2</f>
        <v>4412.9821210720756</v>
      </c>
      <c r="F21" s="134">
        <f>SUM(D21:E21)</f>
        <v>76073.142121072073</v>
      </c>
      <c r="G21" s="115">
        <f>F21*F14</f>
        <v>14050.709349762012</v>
      </c>
      <c r="H21" s="114">
        <f>1728.26*12</f>
        <v>20739.12</v>
      </c>
      <c r="I21" s="114">
        <f>F21*B14</f>
        <v>2434.3405478743066</v>
      </c>
      <c r="J21" s="114">
        <f>F21*D14</f>
        <v>4716.534811506468</v>
      </c>
      <c r="K21" s="114">
        <f>F21*E14</f>
        <v>1103.0605607555451</v>
      </c>
      <c r="L21" s="114">
        <f>F21*G14</f>
        <v>988.95084757393693</v>
      </c>
      <c r="M21" s="135">
        <f>SUM(F21:L21)</f>
        <v>120105.85823854434</v>
      </c>
      <c r="N21" s="116"/>
    </row>
    <row r="22" spans="1:14" ht="15.75" thickBot="1" x14ac:dyDescent="0.3">
      <c r="A22" s="111" t="s">
        <v>163</v>
      </c>
      <c r="B22" s="112">
        <v>8</v>
      </c>
      <c r="C22" s="113">
        <f>C6*0.25+C6</f>
        <v>27.85</v>
      </c>
      <c r="D22" s="114">
        <f>C22*2080</f>
        <v>57928</v>
      </c>
      <c r="E22" s="134">
        <f>'Overtime 2009-2016'!J11*0.2</f>
        <v>4412.9821210720756</v>
      </c>
      <c r="F22" s="134">
        <f>SUM(D22:E22)</f>
        <v>62340.982121072077</v>
      </c>
      <c r="G22" s="115">
        <f>F22*F15</f>
        <v>10404.709916006928</v>
      </c>
      <c r="H22" s="114">
        <f>1265.74*12</f>
        <v>15188.880000000001</v>
      </c>
      <c r="I22" s="114">
        <f>F22*B15</f>
        <v>3104.5809096293892</v>
      </c>
      <c r="J22" s="114">
        <f>F22*D15</f>
        <v>3865.1408915064685</v>
      </c>
      <c r="K22" s="114">
        <f>F22*E15</f>
        <v>903.94424075554514</v>
      </c>
      <c r="L22" s="114">
        <f>F22*G15</f>
        <v>810.43276757393699</v>
      </c>
      <c r="M22" s="135">
        <f>SUM(F22:L22)</f>
        <v>96618.670846544352</v>
      </c>
      <c r="N22" s="116"/>
    </row>
    <row r="23" spans="1:14" ht="16.5" thickTop="1" x14ac:dyDescent="0.25">
      <c r="A23" s="111" t="s">
        <v>164</v>
      </c>
      <c r="B23" s="112">
        <v>27</v>
      </c>
      <c r="C23" s="113">
        <f>C7*0.25+17.5</f>
        <v>21.875</v>
      </c>
      <c r="D23" s="114">
        <f>C23*2080</f>
        <v>45500</v>
      </c>
      <c r="E23" s="110">
        <v>0</v>
      </c>
      <c r="F23" s="134">
        <f>SUM(D23:E23)</f>
        <v>45500</v>
      </c>
      <c r="G23" s="115">
        <f>F23*F16</f>
        <v>7593.95</v>
      </c>
      <c r="H23" s="114">
        <f>1728.26*12</f>
        <v>20739.12</v>
      </c>
      <c r="I23" s="114">
        <f>F23*B16</f>
        <v>2265.9</v>
      </c>
      <c r="J23" s="114">
        <f>F23*D16</f>
        <v>2821</v>
      </c>
      <c r="K23" s="114">
        <f>F23*E16</f>
        <v>659.75</v>
      </c>
      <c r="L23" s="114">
        <f>F23*G16</f>
        <v>591.5</v>
      </c>
      <c r="M23" s="135">
        <f>SUM(F23:L23)</f>
        <v>80171.219999999987</v>
      </c>
      <c r="N23" s="147" t="s">
        <v>181</v>
      </c>
    </row>
    <row r="24" spans="1:14" ht="15.75" thickBot="1" x14ac:dyDescent="0.3">
      <c r="A24" s="136"/>
      <c r="B24" s="137"/>
      <c r="C24" s="180" t="s">
        <v>125</v>
      </c>
      <c r="D24" s="142">
        <f>SUM(D20:D23)</f>
        <v>263954.91200000001</v>
      </c>
      <c r="E24" s="142">
        <f t="shared" ref="E24:M24" si="1">SUM(E20:E23)</f>
        <v>22064.910605360375</v>
      </c>
      <c r="F24" s="142">
        <f t="shared" si="1"/>
        <v>286019.82260536036</v>
      </c>
      <c r="G24" s="141">
        <f t="shared" si="1"/>
        <v>50908.291753454971</v>
      </c>
      <c r="H24" s="142">
        <f t="shared" si="1"/>
        <v>77406.239999999991</v>
      </c>
      <c r="I24" s="142">
        <f t="shared" si="1"/>
        <v>11072.203805126615</v>
      </c>
      <c r="J24" s="142">
        <f t="shared" si="1"/>
        <v>17733.229001532341</v>
      </c>
      <c r="K24" s="142">
        <f t="shared" si="1"/>
        <v>4147.2874277777255</v>
      </c>
      <c r="L24" s="142">
        <f t="shared" si="1"/>
        <v>3718.2576938696848</v>
      </c>
      <c r="M24" s="181">
        <f t="shared" si="1"/>
        <v>451005.33228712168</v>
      </c>
      <c r="N24" s="182">
        <f>M24+10400+6118</f>
        <v>467523.33228712168</v>
      </c>
    </row>
    <row r="25" spans="1:14" ht="15.75" thickTop="1" x14ac:dyDescent="0.25">
      <c r="A25" s="60"/>
      <c r="B25" s="90"/>
      <c r="C25" s="91"/>
      <c r="D25" s="90"/>
      <c r="E25" s="90"/>
      <c r="F25" s="90"/>
      <c r="G25" s="90"/>
      <c r="H25" s="90"/>
    </row>
    <row r="26" spans="1:14" x14ac:dyDescent="0.25">
      <c r="A26" s="60"/>
      <c r="B26" s="90"/>
      <c r="C26" s="91"/>
      <c r="D26" s="90"/>
      <c r="E26" s="90"/>
      <c r="F26" s="90"/>
      <c r="G26" s="90"/>
      <c r="H26" s="90"/>
    </row>
    <row r="27" spans="1:14" x14ac:dyDescent="0.25">
      <c r="A27" s="60"/>
      <c r="B27" s="90"/>
      <c r="C27" s="91"/>
      <c r="D27" s="90"/>
      <c r="E27" s="90"/>
      <c r="F27" s="90"/>
      <c r="G27" s="90"/>
      <c r="H27" s="90"/>
    </row>
    <row r="28" spans="1:14" x14ac:dyDescent="0.25">
      <c r="A28" s="60"/>
      <c r="B28" s="90"/>
      <c r="C28" s="91"/>
      <c r="D28" s="90"/>
      <c r="E28" s="90"/>
      <c r="F28" s="90"/>
      <c r="G28" s="90"/>
      <c r="H28" s="90"/>
    </row>
    <row r="29" spans="1:14" x14ac:dyDescent="0.25">
      <c r="A29" s="60"/>
      <c r="B29" s="90"/>
      <c r="C29" s="91"/>
      <c r="D29" s="90"/>
      <c r="E29" s="90"/>
      <c r="F29" s="90"/>
      <c r="G29" s="90"/>
      <c r="H29" s="90"/>
    </row>
    <row r="30" spans="1:14" x14ac:dyDescent="0.25">
      <c r="A30" s="60"/>
      <c r="B30" s="90"/>
      <c r="C30" s="91"/>
      <c r="D30" s="90"/>
      <c r="E30" s="90"/>
      <c r="F30" s="90"/>
      <c r="G30" s="90"/>
      <c r="H30" s="90"/>
    </row>
    <row r="31" spans="1:14" x14ac:dyDescent="0.25">
      <c r="G31" s="185">
        <f>G21/F21</f>
        <v>0.1847</v>
      </c>
    </row>
    <row r="40" spans="4:4" x14ac:dyDescent="0.25">
      <c r="D40" s="85"/>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22BFA-3AF2-4245-9D19-47DA0718BD19}">
  <dimension ref="A1:R214"/>
  <sheetViews>
    <sheetView topLeftCell="A6" workbookViewId="0">
      <selection activeCell="K35" sqref="K35:K39"/>
    </sheetView>
  </sheetViews>
  <sheetFormatPr defaultRowHeight="15" x14ac:dyDescent="0.25"/>
  <cols>
    <col min="1" max="1" width="4" bestFit="1" customWidth="1"/>
    <col min="2" max="2" width="69.5703125" bestFit="1" customWidth="1"/>
    <col min="3" max="3" width="12.85546875" bestFit="1" customWidth="1"/>
    <col min="4" max="4" width="26.85546875" bestFit="1" customWidth="1"/>
    <col min="5" max="9" width="12" bestFit="1" customWidth="1"/>
    <col min="10" max="17" width="13.5703125" bestFit="1" customWidth="1"/>
    <col min="18" max="18" width="4" bestFit="1" customWidth="1"/>
  </cols>
  <sheetData>
    <row r="1" spans="1:18" ht="23.25" x14ac:dyDescent="0.35">
      <c r="A1" s="329"/>
      <c r="B1" s="298" t="s">
        <v>311</v>
      </c>
      <c r="C1" s="299"/>
      <c r="D1" s="299"/>
      <c r="E1" s="299"/>
      <c r="F1" s="299"/>
      <c r="G1" s="299"/>
      <c r="H1" s="299"/>
      <c r="I1" s="299"/>
      <c r="J1" s="299"/>
      <c r="K1" s="329"/>
      <c r="L1" s="329"/>
      <c r="M1" s="329"/>
      <c r="N1" s="329"/>
      <c r="O1" s="329"/>
      <c r="P1" s="329"/>
      <c r="Q1" s="329"/>
      <c r="R1" s="329"/>
    </row>
    <row r="2" spans="1:18" ht="18.75" x14ac:dyDescent="0.3">
      <c r="A2" s="329"/>
      <c r="B2" s="983" t="s">
        <v>312</v>
      </c>
      <c r="C2" s="983"/>
      <c r="D2" s="983"/>
      <c r="E2" s="983"/>
      <c r="F2" s="983"/>
      <c r="G2" s="983"/>
      <c r="H2" s="983"/>
      <c r="I2" s="983"/>
      <c r="J2" s="983"/>
      <c r="K2" s="329"/>
      <c r="L2" s="329"/>
      <c r="M2" s="329"/>
      <c r="N2" s="329"/>
      <c r="O2" s="329"/>
      <c r="P2" s="329"/>
      <c r="Q2" s="329"/>
      <c r="R2" s="329"/>
    </row>
    <row r="3" spans="1:18" x14ac:dyDescent="0.25">
      <c r="A3" s="329"/>
      <c r="B3" s="330" t="s">
        <v>270</v>
      </c>
      <c r="C3" s="330" t="s">
        <v>313</v>
      </c>
      <c r="D3" s="330" t="s">
        <v>272</v>
      </c>
      <c r="E3" s="330" t="s">
        <v>273</v>
      </c>
      <c r="F3" s="330" t="s">
        <v>274</v>
      </c>
      <c r="G3" s="330" t="s">
        <v>314</v>
      </c>
      <c r="H3" s="330" t="s">
        <v>276</v>
      </c>
      <c r="I3" s="330" t="s">
        <v>277</v>
      </c>
      <c r="J3" s="330" t="s">
        <v>278</v>
      </c>
      <c r="K3" s="330" t="s">
        <v>279</v>
      </c>
      <c r="L3" s="330" t="s">
        <v>280</v>
      </c>
      <c r="M3" s="330" t="s">
        <v>281</v>
      </c>
      <c r="N3" s="330" t="s">
        <v>315</v>
      </c>
      <c r="O3" s="330" t="s">
        <v>316</v>
      </c>
      <c r="P3" s="330" t="s">
        <v>317</v>
      </c>
      <c r="Q3" s="330" t="s">
        <v>318</v>
      </c>
      <c r="R3" s="329"/>
    </row>
    <row r="4" spans="1:18" x14ac:dyDescent="0.25">
      <c r="A4" s="330">
        <f>A3+1</f>
        <v>1</v>
      </c>
      <c r="B4" s="329"/>
      <c r="C4" s="329"/>
      <c r="D4" s="329"/>
      <c r="E4" s="329"/>
      <c r="F4" s="329"/>
      <c r="G4" s="329"/>
      <c r="H4" s="329"/>
      <c r="I4" s="329"/>
      <c r="J4" s="329"/>
      <c r="K4" s="329"/>
      <c r="L4" s="329"/>
      <c r="M4" s="329"/>
      <c r="N4" s="329"/>
      <c r="O4" s="329"/>
      <c r="P4" s="329"/>
      <c r="Q4" s="329"/>
      <c r="R4" s="330">
        <f>A4</f>
        <v>1</v>
      </c>
    </row>
    <row r="5" spans="1:18" x14ac:dyDescent="0.25">
      <c r="A5" s="330">
        <f t="shared" ref="A5:A69" si="0">A4+1</f>
        <v>2</v>
      </c>
      <c r="B5" s="329"/>
      <c r="C5" s="329"/>
      <c r="D5" s="329"/>
      <c r="E5" s="329"/>
      <c r="F5" s="329"/>
      <c r="G5" s="329"/>
      <c r="H5" s="329"/>
      <c r="I5" s="329"/>
      <c r="J5" s="329"/>
      <c r="K5" s="329"/>
      <c r="L5" s="329"/>
      <c r="M5" s="329"/>
      <c r="N5" s="329"/>
      <c r="O5" s="329"/>
      <c r="P5" s="329"/>
      <c r="Q5" s="329"/>
      <c r="R5" s="330">
        <f t="shared" ref="R5:R70" si="1">A5</f>
        <v>2</v>
      </c>
    </row>
    <row r="6" spans="1:18" ht="19.5" thickBot="1" x14ac:dyDescent="0.35">
      <c r="A6" s="330">
        <f t="shared" si="0"/>
        <v>3</v>
      </c>
      <c r="B6" s="331" t="s">
        <v>319</v>
      </c>
      <c r="C6" s="331" t="s">
        <v>320</v>
      </c>
      <c r="D6" s="332">
        <v>2011</v>
      </c>
      <c r="E6" s="332">
        <f t="shared" ref="E6:Q6" si="2">D6+1</f>
        <v>2012</v>
      </c>
      <c r="F6" s="332">
        <f t="shared" si="2"/>
        <v>2013</v>
      </c>
      <c r="G6" s="332">
        <f t="shared" si="2"/>
        <v>2014</v>
      </c>
      <c r="H6" s="332">
        <f t="shared" si="2"/>
        <v>2015</v>
      </c>
      <c r="I6" s="332">
        <f t="shared" si="2"/>
        <v>2016</v>
      </c>
      <c r="J6" s="332">
        <f>I6+1</f>
        <v>2017</v>
      </c>
      <c r="K6" s="332">
        <f>J6+1</f>
        <v>2018</v>
      </c>
      <c r="L6" s="332">
        <f>K6+1</f>
        <v>2019</v>
      </c>
      <c r="M6" s="332">
        <f t="shared" si="2"/>
        <v>2020</v>
      </c>
      <c r="N6" s="332">
        <f t="shared" si="2"/>
        <v>2021</v>
      </c>
      <c r="O6" s="332">
        <f t="shared" si="2"/>
        <v>2022</v>
      </c>
      <c r="P6" s="332">
        <f t="shared" si="2"/>
        <v>2023</v>
      </c>
      <c r="Q6" s="332">
        <f t="shared" si="2"/>
        <v>2024</v>
      </c>
      <c r="R6" s="330">
        <f t="shared" si="1"/>
        <v>3</v>
      </c>
    </row>
    <row r="7" spans="1:18" x14ac:dyDescent="0.25">
      <c r="A7" s="330">
        <f t="shared" si="0"/>
        <v>4</v>
      </c>
      <c r="B7" s="396" t="s">
        <v>215</v>
      </c>
      <c r="C7" s="397"/>
      <c r="D7" s="397"/>
      <c r="E7" s="398"/>
      <c r="F7" s="397"/>
      <c r="G7" s="397"/>
      <c r="H7" s="397"/>
      <c r="I7" s="397"/>
      <c r="J7" s="397"/>
      <c r="K7" s="399"/>
      <c r="L7" s="397"/>
      <c r="M7" s="397"/>
      <c r="N7" s="397"/>
      <c r="O7" s="397"/>
      <c r="P7" s="397"/>
      <c r="Q7" s="400"/>
      <c r="R7" s="330">
        <f t="shared" si="1"/>
        <v>4</v>
      </c>
    </row>
    <row r="8" spans="1:18" x14ac:dyDescent="0.25">
      <c r="A8" s="330">
        <f t="shared" si="0"/>
        <v>5</v>
      </c>
      <c r="B8" s="333" t="s">
        <v>321</v>
      </c>
      <c r="C8" s="334">
        <v>0.05</v>
      </c>
      <c r="D8" s="335">
        <v>75000</v>
      </c>
      <c r="E8" s="335">
        <v>75000</v>
      </c>
      <c r="F8" s="335">
        <f>E8*(1+$C8)</f>
        <v>78750</v>
      </c>
      <c r="G8" s="336">
        <f t="shared" ref="G8:Q8" si="3">F8*(1+$C8)</f>
        <v>82687.5</v>
      </c>
      <c r="H8" s="336">
        <f t="shared" si="3"/>
        <v>86821.875</v>
      </c>
      <c r="I8" s="336">
        <f t="shared" si="3"/>
        <v>91162.96875</v>
      </c>
      <c r="J8" s="336">
        <v>45000</v>
      </c>
      <c r="K8" s="337">
        <f t="shared" si="3"/>
        <v>47250</v>
      </c>
      <c r="L8" s="336">
        <f>'2022 Approved'!C106</f>
        <v>65000</v>
      </c>
      <c r="M8" s="336">
        <f t="shared" si="3"/>
        <v>68250</v>
      </c>
      <c r="N8" s="336">
        <f t="shared" si="3"/>
        <v>71662.5</v>
      </c>
      <c r="O8" s="336">
        <f t="shared" si="3"/>
        <v>75245.625</v>
      </c>
      <c r="P8" s="336">
        <f t="shared" si="3"/>
        <v>79007.90625</v>
      </c>
      <c r="Q8" s="338">
        <f t="shared" si="3"/>
        <v>82958.301562499997</v>
      </c>
      <c r="R8" s="330">
        <f t="shared" si="1"/>
        <v>5</v>
      </c>
    </row>
    <row r="9" spans="1:18" x14ac:dyDescent="0.25">
      <c r="A9" s="330">
        <f t="shared" si="0"/>
        <v>6</v>
      </c>
      <c r="B9" s="333" t="s">
        <v>322</v>
      </c>
      <c r="C9" s="334">
        <v>0.05</v>
      </c>
      <c r="D9" s="335">
        <v>280478.75</v>
      </c>
      <c r="E9" s="335">
        <v>280478.75</v>
      </c>
      <c r="F9" s="335">
        <f t="shared" ref="F9:Q15" si="4">E9*(1+$C9)</f>
        <v>294502.6875</v>
      </c>
      <c r="G9" s="336">
        <f t="shared" si="4"/>
        <v>309227.82187500002</v>
      </c>
      <c r="H9" s="336">
        <f t="shared" si="4"/>
        <v>324689.21296875004</v>
      </c>
      <c r="I9" s="336">
        <f t="shared" si="4"/>
        <v>340923.67361718754</v>
      </c>
      <c r="J9" s="336">
        <v>205056</v>
      </c>
      <c r="K9" s="337">
        <f t="shared" si="4"/>
        <v>215308.80000000002</v>
      </c>
      <c r="L9" s="336" t="e">
        <f>'2022 Approved'!C108+'2022 Approved'!#REF!+'2022 Approved'!#REF!</f>
        <v>#REF!</v>
      </c>
      <c r="M9" s="336" t="e">
        <f t="shared" si="4"/>
        <v>#REF!</v>
      </c>
      <c r="N9" s="336" t="e">
        <f t="shared" si="4"/>
        <v>#REF!</v>
      </c>
      <c r="O9" s="336" t="e">
        <f t="shared" si="4"/>
        <v>#REF!</v>
      </c>
      <c r="P9" s="336" t="e">
        <f t="shared" si="4"/>
        <v>#REF!</v>
      </c>
      <c r="Q9" s="338" t="e">
        <f t="shared" si="4"/>
        <v>#REF!</v>
      </c>
      <c r="R9" s="330">
        <f t="shared" si="1"/>
        <v>6</v>
      </c>
    </row>
    <row r="10" spans="1:18" x14ac:dyDescent="0.25">
      <c r="A10" s="330">
        <f t="shared" si="0"/>
        <v>7</v>
      </c>
      <c r="B10" s="333" t="s">
        <v>323</v>
      </c>
      <c r="C10" s="334">
        <v>0.05</v>
      </c>
      <c r="D10" s="335">
        <v>193440</v>
      </c>
      <c r="E10" s="335">
        <v>193440</v>
      </c>
      <c r="F10" s="335">
        <f t="shared" si="4"/>
        <v>203112</v>
      </c>
      <c r="G10" s="336">
        <f t="shared" si="4"/>
        <v>213267.6</v>
      </c>
      <c r="H10" s="336">
        <f t="shared" si="4"/>
        <v>223930.98</v>
      </c>
      <c r="I10" s="336">
        <f t="shared" si="4"/>
        <v>235127.52900000001</v>
      </c>
      <c r="J10" s="336">
        <v>205056</v>
      </c>
      <c r="K10" s="337">
        <f t="shared" si="4"/>
        <v>215308.80000000002</v>
      </c>
      <c r="L10" s="336">
        <f>'2022 Approved'!C107</f>
        <v>276360</v>
      </c>
      <c r="M10" s="336">
        <f t="shared" si="4"/>
        <v>290178</v>
      </c>
      <c r="N10" s="336">
        <f t="shared" si="4"/>
        <v>304686.90000000002</v>
      </c>
      <c r="O10" s="336">
        <f t="shared" si="4"/>
        <v>319921.24500000005</v>
      </c>
      <c r="P10" s="336">
        <f t="shared" si="4"/>
        <v>335917.30725000007</v>
      </c>
      <c r="Q10" s="338">
        <f t="shared" si="4"/>
        <v>352713.17261250009</v>
      </c>
      <c r="R10" s="330">
        <f t="shared" si="1"/>
        <v>7</v>
      </c>
    </row>
    <row r="11" spans="1:18" x14ac:dyDescent="0.25">
      <c r="A11" s="330">
        <f t="shared" si="0"/>
        <v>8</v>
      </c>
      <c r="B11" s="333" t="s">
        <v>426</v>
      </c>
      <c r="C11" s="334">
        <v>0.05</v>
      </c>
      <c r="D11" s="335">
        <v>1920</v>
      </c>
      <c r="E11" s="335">
        <v>2560</v>
      </c>
      <c r="F11" s="335">
        <f t="shared" si="4"/>
        <v>2688</v>
      </c>
      <c r="G11" s="336">
        <f t="shared" si="4"/>
        <v>2822.4</v>
      </c>
      <c r="H11" s="336">
        <f t="shared" si="4"/>
        <v>2963.5200000000004</v>
      </c>
      <c r="I11" s="336">
        <f>H11*(1+$C11)</f>
        <v>3111.6960000000004</v>
      </c>
      <c r="J11" s="336">
        <v>15600</v>
      </c>
      <c r="K11" s="337">
        <f t="shared" si="4"/>
        <v>16380</v>
      </c>
      <c r="L11" s="336">
        <f>'2022 Approved'!C112</f>
        <v>7000</v>
      </c>
      <c r="M11" s="336">
        <f t="shared" si="4"/>
        <v>7350</v>
      </c>
      <c r="N11" s="336">
        <f t="shared" si="4"/>
        <v>7717.5</v>
      </c>
      <c r="O11" s="336">
        <f t="shared" si="4"/>
        <v>8103.375</v>
      </c>
      <c r="P11" s="336">
        <f t="shared" si="4"/>
        <v>8508.5437500000007</v>
      </c>
      <c r="Q11" s="338">
        <f t="shared" si="4"/>
        <v>8933.970937500002</v>
      </c>
      <c r="R11" s="330">
        <f t="shared" si="1"/>
        <v>8</v>
      </c>
    </row>
    <row r="12" spans="1:18" x14ac:dyDescent="0.25">
      <c r="A12" s="330">
        <f t="shared" si="0"/>
        <v>9</v>
      </c>
      <c r="B12" s="333" t="s">
        <v>324</v>
      </c>
      <c r="C12" s="334">
        <v>0.05</v>
      </c>
      <c r="D12" s="335">
        <v>5000</v>
      </c>
      <c r="E12" s="335">
        <v>5000</v>
      </c>
      <c r="F12" s="335">
        <f t="shared" si="4"/>
        <v>5250</v>
      </c>
      <c r="G12" s="336">
        <f t="shared" si="4"/>
        <v>5512.5</v>
      </c>
      <c r="H12" s="336">
        <f t="shared" si="4"/>
        <v>5788.125</v>
      </c>
      <c r="I12" s="336">
        <f t="shared" si="4"/>
        <v>6077.53125</v>
      </c>
      <c r="J12" s="336">
        <v>50000</v>
      </c>
      <c r="K12" s="337">
        <f t="shared" si="4"/>
        <v>52500</v>
      </c>
      <c r="L12" s="336" t="e">
        <f>'2022 Approved'!#REF!</f>
        <v>#REF!</v>
      </c>
      <c r="M12" s="336" t="e">
        <f t="shared" si="4"/>
        <v>#REF!</v>
      </c>
      <c r="N12" s="336" t="e">
        <f t="shared" si="4"/>
        <v>#REF!</v>
      </c>
      <c r="O12" s="336" t="e">
        <f t="shared" si="4"/>
        <v>#REF!</v>
      </c>
      <c r="P12" s="336" t="e">
        <f t="shared" si="4"/>
        <v>#REF!</v>
      </c>
      <c r="Q12" s="338" t="e">
        <f t="shared" si="4"/>
        <v>#REF!</v>
      </c>
      <c r="R12" s="330">
        <f t="shared" si="1"/>
        <v>9</v>
      </c>
    </row>
    <row r="13" spans="1:18" x14ac:dyDescent="0.25">
      <c r="A13" s="330">
        <f t="shared" si="0"/>
        <v>10</v>
      </c>
      <c r="B13" s="333" t="s">
        <v>101</v>
      </c>
      <c r="C13" s="334">
        <v>0.05</v>
      </c>
      <c r="D13" s="335">
        <v>10000</v>
      </c>
      <c r="E13" s="335">
        <v>10000</v>
      </c>
      <c r="F13" s="335">
        <f t="shared" si="4"/>
        <v>10500</v>
      </c>
      <c r="G13" s="336">
        <f t="shared" si="4"/>
        <v>11025</v>
      </c>
      <c r="H13" s="336">
        <f t="shared" si="4"/>
        <v>11576.25</v>
      </c>
      <c r="I13" s="336">
        <f t="shared" si="4"/>
        <v>12155.0625</v>
      </c>
      <c r="J13" s="336"/>
      <c r="K13" s="337">
        <f t="shared" si="4"/>
        <v>0</v>
      </c>
      <c r="L13" s="336">
        <f t="shared" si="4"/>
        <v>0</v>
      </c>
      <c r="M13" s="336">
        <f t="shared" si="4"/>
        <v>0</v>
      </c>
      <c r="N13" s="336">
        <f t="shared" si="4"/>
        <v>0</v>
      </c>
      <c r="O13" s="336">
        <f t="shared" si="4"/>
        <v>0</v>
      </c>
      <c r="P13" s="336">
        <f t="shared" si="4"/>
        <v>0</v>
      </c>
      <c r="Q13" s="338">
        <f t="shared" si="4"/>
        <v>0</v>
      </c>
      <c r="R13" s="330">
        <f t="shared" si="1"/>
        <v>10</v>
      </c>
    </row>
    <row r="14" spans="1:18" x14ac:dyDescent="0.25">
      <c r="A14" s="330">
        <f t="shared" si="0"/>
        <v>11</v>
      </c>
      <c r="B14" s="333" t="s">
        <v>325</v>
      </c>
      <c r="C14" s="334">
        <v>0.05</v>
      </c>
      <c r="D14" s="335">
        <v>0</v>
      </c>
      <c r="E14" s="335">
        <v>0</v>
      </c>
      <c r="F14" s="335">
        <f t="shared" si="4"/>
        <v>0</v>
      </c>
      <c r="G14" s="336">
        <f t="shared" si="4"/>
        <v>0</v>
      </c>
      <c r="H14" s="336">
        <f t="shared" si="4"/>
        <v>0</v>
      </c>
      <c r="I14" s="336">
        <f t="shared" si="4"/>
        <v>0</v>
      </c>
      <c r="J14" s="336">
        <v>543168</v>
      </c>
      <c r="K14" s="337">
        <f t="shared" si="4"/>
        <v>570326.4</v>
      </c>
      <c r="L14" s="336">
        <f>'2022 Approved'!C110</f>
        <v>360253.8</v>
      </c>
      <c r="M14" s="336">
        <f t="shared" si="4"/>
        <v>378266.49</v>
      </c>
      <c r="N14" s="336">
        <f t="shared" si="4"/>
        <v>397179.81449999998</v>
      </c>
      <c r="O14" s="336">
        <f t="shared" si="4"/>
        <v>417038.80522500002</v>
      </c>
      <c r="P14" s="336">
        <f t="shared" si="4"/>
        <v>437890.74548625003</v>
      </c>
      <c r="Q14" s="338">
        <f t="shared" si="4"/>
        <v>459785.28276056255</v>
      </c>
      <c r="R14" s="330">
        <f t="shared" si="1"/>
        <v>11</v>
      </c>
    </row>
    <row r="15" spans="1:18" x14ac:dyDescent="0.25">
      <c r="A15" s="330">
        <f t="shared" si="0"/>
        <v>12</v>
      </c>
      <c r="B15" s="333" t="s">
        <v>326</v>
      </c>
      <c r="C15" s="334">
        <v>0.05</v>
      </c>
      <c r="D15" s="335">
        <v>7000</v>
      </c>
      <c r="E15" s="335">
        <v>0</v>
      </c>
      <c r="F15" s="335">
        <f t="shared" si="4"/>
        <v>0</v>
      </c>
      <c r="G15" s="336">
        <f t="shared" si="4"/>
        <v>0</v>
      </c>
      <c r="H15" s="336">
        <f t="shared" si="4"/>
        <v>0</v>
      </c>
      <c r="I15" s="336">
        <f t="shared" si="4"/>
        <v>0</v>
      </c>
      <c r="J15" s="336">
        <f t="shared" si="4"/>
        <v>0</v>
      </c>
      <c r="K15" s="337">
        <f t="shared" si="4"/>
        <v>0</v>
      </c>
      <c r="L15" s="336">
        <f t="shared" si="4"/>
        <v>0</v>
      </c>
      <c r="M15" s="336">
        <f t="shared" si="4"/>
        <v>0</v>
      </c>
      <c r="N15" s="336">
        <f t="shared" si="4"/>
        <v>0</v>
      </c>
      <c r="O15" s="336">
        <f t="shared" si="4"/>
        <v>0</v>
      </c>
      <c r="P15" s="336">
        <f t="shared" si="4"/>
        <v>0</v>
      </c>
      <c r="Q15" s="338">
        <f t="shared" si="4"/>
        <v>0</v>
      </c>
      <c r="R15" s="330">
        <f t="shared" si="1"/>
        <v>12</v>
      </c>
    </row>
    <row r="16" spans="1:18" x14ac:dyDescent="0.25">
      <c r="A16" s="330">
        <f t="shared" si="0"/>
        <v>13</v>
      </c>
      <c r="B16" s="339" t="s">
        <v>327</v>
      </c>
      <c r="C16" s="340"/>
      <c r="D16" s="341">
        <f t="shared" ref="D16:Q16" si="5">SUM(D8:D15)</f>
        <v>572838.75</v>
      </c>
      <c r="E16" s="341">
        <f t="shared" si="5"/>
        <v>566478.75</v>
      </c>
      <c r="F16" s="341">
        <f t="shared" si="5"/>
        <v>594802.6875</v>
      </c>
      <c r="G16" s="342">
        <f t="shared" si="5"/>
        <v>624542.82187500002</v>
      </c>
      <c r="H16" s="342">
        <f t="shared" si="5"/>
        <v>655769.96296875004</v>
      </c>
      <c r="I16" s="342">
        <f t="shared" si="5"/>
        <v>688558.46111718751</v>
      </c>
      <c r="J16" s="342">
        <f t="shared" si="5"/>
        <v>1063880</v>
      </c>
      <c r="K16" s="343">
        <f t="shared" si="5"/>
        <v>1117074</v>
      </c>
      <c r="L16" s="342" t="e">
        <f t="shared" si="5"/>
        <v>#REF!</v>
      </c>
      <c r="M16" s="342" t="e">
        <f t="shared" si="5"/>
        <v>#REF!</v>
      </c>
      <c r="N16" s="342" t="e">
        <f t="shared" si="5"/>
        <v>#REF!</v>
      </c>
      <c r="O16" s="342" t="e">
        <f t="shared" si="5"/>
        <v>#REF!</v>
      </c>
      <c r="P16" s="342" t="e">
        <f t="shared" si="5"/>
        <v>#REF!</v>
      </c>
      <c r="Q16" s="344" t="e">
        <f t="shared" si="5"/>
        <v>#REF!</v>
      </c>
      <c r="R16" s="330">
        <f t="shared" si="1"/>
        <v>13</v>
      </c>
    </row>
    <row r="17" spans="1:18" ht="15.75" thickBot="1" x14ac:dyDescent="0.3">
      <c r="A17" s="330">
        <f t="shared" si="0"/>
        <v>14</v>
      </c>
      <c r="B17" s="345"/>
      <c r="C17" s="346"/>
      <c r="D17" s="346"/>
      <c r="E17" s="346"/>
      <c r="F17" s="346"/>
      <c r="G17" s="346"/>
      <c r="H17" s="346"/>
      <c r="I17" s="346"/>
      <c r="J17" s="346"/>
      <c r="K17" s="347"/>
      <c r="L17" s="346"/>
      <c r="M17" s="346"/>
      <c r="N17" s="346"/>
      <c r="O17" s="346"/>
      <c r="P17" s="346"/>
      <c r="Q17" s="348"/>
      <c r="R17" s="330">
        <f t="shared" si="1"/>
        <v>14</v>
      </c>
    </row>
    <row r="18" spans="1:18" x14ac:dyDescent="0.25">
      <c r="A18" s="330">
        <f t="shared" si="0"/>
        <v>15</v>
      </c>
      <c r="B18" s="329"/>
      <c r="C18" s="329"/>
      <c r="D18" s="329"/>
      <c r="E18" s="329"/>
      <c r="F18" s="329"/>
      <c r="G18" s="329"/>
      <c r="H18" s="329"/>
      <c r="I18" s="329"/>
      <c r="J18" s="329"/>
      <c r="K18" s="329"/>
      <c r="L18" s="329"/>
      <c r="M18" s="329"/>
      <c r="N18" s="329"/>
      <c r="O18" s="329"/>
      <c r="P18" s="329"/>
      <c r="Q18" s="329"/>
      <c r="R18" s="330">
        <f t="shared" si="1"/>
        <v>15</v>
      </c>
    </row>
    <row r="19" spans="1:18" ht="19.5" thickBot="1" x14ac:dyDescent="0.35">
      <c r="A19" s="330">
        <f t="shared" si="0"/>
        <v>16</v>
      </c>
      <c r="B19" s="331" t="s">
        <v>328</v>
      </c>
      <c r="C19" s="331" t="s">
        <v>320</v>
      </c>
      <c r="D19" s="332">
        <v>2011</v>
      </c>
      <c r="E19" s="332">
        <f t="shared" ref="E19:Q19" si="6">D19+1</f>
        <v>2012</v>
      </c>
      <c r="F19" s="332">
        <f t="shared" si="6"/>
        <v>2013</v>
      </c>
      <c r="G19" s="332">
        <f t="shared" si="6"/>
        <v>2014</v>
      </c>
      <c r="H19" s="332">
        <f t="shared" si="6"/>
        <v>2015</v>
      </c>
      <c r="I19" s="332">
        <f t="shared" si="6"/>
        <v>2016</v>
      </c>
      <c r="J19" s="332">
        <f t="shared" si="6"/>
        <v>2017</v>
      </c>
      <c r="K19" s="332">
        <f t="shared" si="6"/>
        <v>2018</v>
      </c>
      <c r="L19" s="332">
        <f t="shared" si="6"/>
        <v>2019</v>
      </c>
      <c r="M19" s="332">
        <f t="shared" si="6"/>
        <v>2020</v>
      </c>
      <c r="N19" s="332">
        <f t="shared" si="6"/>
        <v>2021</v>
      </c>
      <c r="O19" s="332">
        <f t="shared" si="6"/>
        <v>2022</v>
      </c>
      <c r="P19" s="332">
        <f t="shared" si="6"/>
        <v>2023</v>
      </c>
      <c r="Q19" s="332">
        <f t="shared" si="6"/>
        <v>2024</v>
      </c>
      <c r="R19" s="330">
        <f t="shared" si="1"/>
        <v>16</v>
      </c>
    </row>
    <row r="20" spans="1:18" x14ac:dyDescent="0.25">
      <c r="A20" s="330">
        <f t="shared" si="0"/>
        <v>17</v>
      </c>
      <c r="B20" s="396" t="s">
        <v>329</v>
      </c>
      <c r="C20" s="397"/>
      <c r="D20" s="397"/>
      <c r="E20" s="398"/>
      <c r="F20" s="397"/>
      <c r="G20" s="397"/>
      <c r="H20" s="397"/>
      <c r="I20" s="397"/>
      <c r="J20" s="397"/>
      <c r="K20" s="399"/>
      <c r="L20" s="397"/>
      <c r="M20" s="397"/>
      <c r="N20" s="397"/>
      <c r="O20" s="397"/>
      <c r="P20" s="397"/>
      <c r="Q20" s="400"/>
      <c r="R20" s="330">
        <f t="shared" si="1"/>
        <v>17</v>
      </c>
    </row>
    <row r="21" spans="1:18" x14ac:dyDescent="0.25">
      <c r="A21" s="330">
        <f t="shared" si="0"/>
        <v>18</v>
      </c>
      <c r="B21" s="349" t="s">
        <v>52</v>
      </c>
      <c r="C21" s="334">
        <v>0.05</v>
      </c>
      <c r="D21" s="350">
        <v>6608</v>
      </c>
      <c r="E21" s="350"/>
      <c r="F21" s="336">
        <f t="shared" ref="F21:Q21" si="7">E21*(1+$C21)</f>
        <v>0</v>
      </c>
      <c r="G21" s="336">
        <f t="shared" si="7"/>
        <v>0</v>
      </c>
      <c r="H21" s="336">
        <f t="shared" si="7"/>
        <v>0</v>
      </c>
      <c r="I21" s="336">
        <f t="shared" si="7"/>
        <v>0</v>
      </c>
      <c r="J21" s="336">
        <f t="shared" si="7"/>
        <v>0</v>
      </c>
      <c r="K21" s="337">
        <f t="shared" si="7"/>
        <v>0</v>
      </c>
      <c r="L21" s="336">
        <f t="shared" si="7"/>
        <v>0</v>
      </c>
      <c r="M21" s="336">
        <f t="shared" si="7"/>
        <v>0</v>
      </c>
      <c r="N21" s="336">
        <f t="shared" si="7"/>
        <v>0</v>
      </c>
      <c r="O21" s="336">
        <f t="shared" si="7"/>
        <v>0</v>
      </c>
      <c r="P21" s="336">
        <f t="shared" si="7"/>
        <v>0</v>
      </c>
      <c r="Q21" s="338">
        <f t="shared" si="7"/>
        <v>0</v>
      </c>
      <c r="R21" s="330">
        <f t="shared" si="1"/>
        <v>18</v>
      </c>
    </row>
    <row r="22" spans="1:18" x14ac:dyDescent="0.25">
      <c r="A22" s="330">
        <f t="shared" si="0"/>
        <v>19</v>
      </c>
      <c r="B22" s="349" t="s">
        <v>53</v>
      </c>
      <c r="C22" s="334"/>
      <c r="D22" s="350">
        <v>307</v>
      </c>
      <c r="E22" s="350">
        <v>0</v>
      </c>
      <c r="F22" s="336"/>
      <c r="G22" s="336"/>
      <c r="H22" s="336"/>
      <c r="I22" s="336"/>
      <c r="J22" s="336"/>
      <c r="K22" s="337"/>
      <c r="L22" s="336"/>
      <c r="M22" s="336"/>
      <c r="N22" s="336"/>
      <c r="O22" s="336"/>
      <c r="P22" s="336"/>
      <c r="Q22" s="338"/>
      <c r="R22" s="330">
        <f t="shared" si="1"/>
        <v>19</v>
      </c>
    </row>
    <row r="23" spans="1:18" x14ac:dyDescent="0.25">
      <c r="A23" s="330">
        <f t="shared" si="0"/>
        <v>20</v>
      </c>
      <c r="B23" s="349" t="s">
        <v>54</v>
      </c>
      <c r="C23" s="334"/>
      <c r="D23" s="350">
        <v>58</v>
      </c>
      <c r="E23" s="350">
        <v>900</v>
      </c>
      <c r="F23" s="336"/>
      <c r="G23" s="336"/>
      <c r="H23" s="336"/>
      <c r="I23" s="336"/>
      <c r="J23" s="336"/>
      <c r="K23" s="337"/>
      <c r="L23" s="336"/>
      <c r="M23" s="336"/>
      <c r="N23" s="336"/>
      <c r="O23" s="336"/>
      <c r="P23" s="336"/>
      <c r="Q23" s="338"/>
      <c r="R23" s="330">
        <f t="shared" si="1"/>
        <v>20</v>
      </c>
    </row>
    <row r="24" spans="1:18" x14ac:dyDescent="0.25">
      <c r="A24" s="330">
        <f t="shared" si="0"/>
        <v>21</v>
      </c>
      <c r="B24" s="349" t="s">
        <v>55</v>
      </c>
      <c r="C24" s="334"/>
      <c r="D24" s="350">
        <v>0</v>
      </c>
      <c r="E24" s="350">
        <v>2600</v>
      </c>
      <c r="F24" s="336"/>
      <c r="G24" s="336"/>
      <c r="H24" s="336"/>
      <c r="I24" s="336"/>
      <c r="J24" s="336"/>
      <c r="K24" s="337"/>
      <c r="L24" s="336"/>
      <c r="M24" s="336"/>
      <c r="N24" s="336"/>
      <c r="O24" s="336"/>
      <c r="P24" s="336"/>
      <c r="Q24" s="338"/>
      <c r="R24" s="330">
        <f t="shared" si="1"/>
        <v>21</v>
      </c>
    </row>
    <row r="25" spans="1:18" x14ac:dyDescent="0.25">
      <c r="A25" s="330">
        <f t="shared" si="0"/>
        <v>22</v>
      </c>
      <c r="B25" s="349" t="s">
        <v>330</v>
      </c>
      <c r="C25" s="334"/>
      <c r="D25" s="350">
        <v>2134</v>
      </c>
      <c r="E25" s="350">
        <v>1500</v>
      </c>
      <c r="F25" s="336">
        <f>E25</f>
        <v>1500</v>
      </c>
      <c r="G25" s="336">
        <f t="shared" ref="G25:Q25" si="8">F25</f>
        <v>1500</v>
      </c>
      <c r="H25" s="336">
        <f t="shared" si="8"/>
        <v>1500</v>
      </c>
      <c r="I25" s="336">
        <f t="shared" si="8"/>
        <v>1500</v>
      </c>
      <c r="J25" s="336">
        <f t="shared" si="8"/>
        <v>1500</v>
      </c>
      <c r="K25" s="337">
        <f t="shared" si="8"/>
        <v>1500</v>
      </c>
      <c r="L25" s="336">
        <f t="shared" si="8"/>
        <v>1500</v>
      </c>
      <c r="M25" s="336">
        <f t="shared" si="8"/>
        <v>1500</v>
      </c>
      <c r="N25" s="336">
        <f t="shared" si="8"/>
        <v>1500</v>
      </c>
      <c r="O25" s="336">
        <f t="shared" si="8"/>
        <v>1500</v>
      </c>
      <c r="P25" s="336">
        <f t="shared" si="8"/>
        <v>1500</v>
      </c>
      <c r="Q25" s="338">
        <f t="shared" si="8"/>
        <v>1500</v>
      </c>
      <c r="R25" s="330">
        <f t="shared" si="1"/>
        <v>22</v>
      </c>
    </row>
    <row r="26" spans="1:18" x14ac:dyDescent="0.25">
      <c r="A26" s="330">
        <f t="shared" si="0"/>
        <v>23</v>
      </c>
      <c r="B26" s="349" t="s">
        <v>56</v>
      </c>
      <c r="C26" s="334"/>
      <c r="D26" s="350">
        <v>156000</v>
      </c>
      <c r="E26" s="350">
        <v>168000</v>
      </c>
      <c r="F26" s="336"/>
      <c r="G26" s="336"/>
      <c r="H26" s="336"/>
      <c r="I26" s="336"/>
      <c r="J26" s="336"/>
      <c r="K26" s="337"/>
      <c r="L26" s="336"/>
      <c r="M26" s="336"/>
      <c r="N26" s="336"/>
      <c r="O26" s="336"/>
      <c r="P26" s="336"/>
      <c r="Q26" s="338"/>
      <c r="R26" s="330">
        <f t="shared" si="1"/>
        <v>23</v>
      </c>
    </row>
    <row r="27" spans="1:18" x14ac:dyDescent="0.25">
      <c r="A27" s="330">
        <f t="shared" si="0"/>
        <v>24</v>
      </c>
      <c r="B27" s="339" t="s">
        <v>327</v>
      </c>
      <c r="C27" s="340"/>
      <c r="D27" s="342">
        <f t="shared" ref="D27:Q27" si="9">SUM(D21:D26)</f>
        <v>165107</v>
      </c>
      <c r="E27" s="342">
        <f t="shared" si="9"/>
        <v>173000</v>
      </c>
      <c r="F27" s="342">
        <f t="shared" si="9"/>
        <v>1500</v>
      </c>
      <c r="G27" s="342">
        <f t="shared" si="9"/>
        <v>1500</v>
      </c>
      <c r="H27" s="342">
        <f t="shared" si="9"/>
        <v>1500</v>
      </c>
      <c r="I27" s="342">
        <f t="shared" si="9"/>
        <v>1500</v>
      </c>
      <c r="J27" s="342">
        <f t="shared" si="9"/>
        <v>1500</v>
      </c>
      <c r="K27" s="343">
        <f t="shared" si="9"/>
        <v>1500</v>
      </c>
      <c r="L27" s="342">
        <f t="shared" si="9"/>
        <v>1500</v>
      </c>
      <c r="M27" s="342">
        <f t="shared" si="9"/>
        <v>1500</v>
      </c>
      <c r="N27" s="342">
        <f t="shared" si="9"/>
        <v>1500</v>
      </c>
      <c r="O27" s="342">
        <f t="shared" si="9"/>
        <v>1500</v>
      </c>
      <c r="P27" s="342">
        <f t="shared" si="9"/>
        <v>1500</v>
      </c>
      <c r="Q27" s="344">
        <f t="shared" si="9"/>
        <v>1500</v>
      </c>
      <c r="R27" s="330">
        <f t="shared" si="1"/>
        <v>24</v>
      </c>
    </row>
    <row r="28" spans="1:18" x14ac:dyDescent="0.25">
      <c r="A28" s="330"/>
      <c r="B28" s="351"/>
      <c r="C28" s="352"/>
      <c r="D28" s="353"/>
      <c r="E28" s="353"/>
      <c r="F28" s="353"/>
      <c r="G28" s="353"/>
      <c r="H28" s="353"/>
      <c r="I28" s="353"/>
      <c r="J28" s="353"/>
      <c r="K28" s="354"/>
      <c r="L28" s="353"/>
      <c r="M28" s="353"/>
      <c r="N28" s="353"/>
      <c r="O28" s="353"/>
      <c r="P28" s="353"/>
      <c r="Q28" s="355"/>
      <c r="R28" s="330">
        <f t="shared" si="1"/>
        <v>0</v>
      </c>
    </row>
    <row r="29" spans="1:18" ht="15.75" thickBot="1" x14ac:dyDescent="0.3">
      <c r="A29" s="330">
        <f>A27+1</f>
        <v>25</v>
      </c>
      <c r="B29" s="345"/>
      <c r="C29" s="346"/>
      <c r="D29" s="356">
        <f>D16+D27</f>
        <v>737945.75</v>
      </c>
      <c r="E29" s="356">
        <f t="shared" ref="E29:Q29" si="10">E16+E27</f>
        <v>739478.75</v>
      </c>
      <c r="F29" s="356">
        <f t="shared" si="10"/>
        <v>596302.6875</v>
      </c>
      <c r="G29" s="356">
        <f t="shared" si="10"/>
        <v>626042.82187500002</v>
      </c>
      <c r="H29" s="356">
        <f t="shared" si="10"/>
        <v>657269.96296875004</v>
      </c>
      <c r="I29" s="356">
        <f t="shared" si="10"/>
        <v>690058.46111718751</v>
      </c>
      <c r="J29" s="356">
        <f t="shared" si="10"/>
        <v>1065380</v>
      </c>
      <c r="K29" s="357">
        <f t="shared" si="10"/>
        <v>1118574</v>
      </c>
      <c r="L29" s="356" t="e">
        <f t="shared" si="10"/>
        <v>#REF!</v>
      </c>
      <c r="M29" s="356" t="e">
        <f t="shared" si="10"/>
        <v>#REF!</v>
      </c>
      <c r="N29" s="356" t="e">
        <f t="shared" si="10"/>
        <v>#REF!</v>
      </c>
      <c r="O29" s="356" t="e">
        <f t="shared" si="10"/>
        <v>#REF!</v>
      </c>
      <c r="P29" s="356" t="e">
        <f t="shared" si="10"/>
        <v>#REF!</v>
      </c>
      <c r="Q29" s="358" t="e">
        <f t="shared" si="10"/>
        <v>#REF!</v>
      </c>
      <c r="R29" s="330">
        <f t="shared" si="1"/>
        <v>25</v>
      </c>
    </row>
    <row r="30" spans="1:18" x14ac:dyDescent="0.25">
      <c r="A30" s="330"/>
      <c r="B30" s="402"/>
      <c r="C30" s="352"/>
      <c r="D30" s="394"/>
      <c r="E30" s="394"/>
      <c r="F30" s="394"/>
      <c r="G30" s="394"/>
      <c r="H30" s="394"/>
      <c r="I30" s="394"/>
      <c r="J30" s="394"/>
      <c r="K30" s="394"/>
      <c r="L30" s="394"/>
      <c r="M30" s="394"/>
      <c r="N30" s="394"/>
      <c r="O30" s="394"/>
      <c r="P30" s="394"/>
      <c r="Q30" s="394"/>
      <c r="R30" s="330"/>
    </row>
    <row r="31" spans="1:18" x14ac:dyDescent="0.25">
      <c r="A31" s="330">
        <f>A29+1</f>
        <v>26</v>
      </c>
      <c r="B31" s="329"/>
      <c r="C31" s="329"/>
      <c r="D31" s="329"/>
      <c r="E31" s="329"/>
      <c r="F31" s="329"/>
      <c r="G31" s="329"/>
      <c r="H31" s="329"/>
      <c r="I31" s="329"/>
      <c r="J31" s="329"/>
      <c r="K31" s="329"/>
      <c r="L31" s="329"/>
      <c r="M31" s="329"/>
      <c r="N31" s="329"/>
      <c r="O31" s="329"/>
      <c r="P31" s="329"/>
      <c r="Q31" s="329"/>
      <c r="R31" s="330">
        <f t="shared" si="1"/>
        <v>26</v>
      </c>
    </row>
    <row r="32" spans="1:18" x14ac:dyDescent="0.25">
      <c r="A32" s="330">
        <f t="shared" si="0"/>
        <v>27</v>
      </c>
      <c r="B32" s="329"/>
      <c r="C32" s="329"/>
      <c r="D32" s="329"/>
      <c r="E32" s="329"/>
      <c r="F32" s="329"/>
      <c r="G32" s="329"/>
      <c r="H32" s="329"/>
      <c r="I32" s="329"/>
      <c r="J32" s="329"/>
      <c r="K32" s="329"/>
      <c r="L32" s="329"/>
      <c r="M32" s="329"/>
      <c r="N32" s="329"/>
      <c r="O32" s="329"/>
      <c r="P32" s="329"/>
      <c r="Q32" s="329"/>
      <c r="R32" s="330">
        <f t="shared" si="1"/>
        <v>27</v>
      </c>
    </row>
    <row r="33" spans="1:18" ht="19.5" thickBot="1" x14ac:dyDescent="0.35">
      <c r="A33" s="330">
        <f t="shared" si="0"/>
        <v>28</v>
      </c>
      <c r="B33" s="331" t="s">
        <v>331</v>
      </c>
      <c r="C33" s="331" t="s">
        <v>320</v>
      </c>
      <c r="D33" s="332">
        <v>2011</v>
      </c>
      <c r="E33" s="332">
        <f t="shared" ref="E33:Q33" si="11">D33+1</f>
        <v>2012</v>
      </c>
      <c r="F33" s="332">
        <f t="shared" si="11"/>
        <v>2013</v>
      </c>
      <c r="G33" s="332">
        <f t="shared" si="11"/>
        <v>2014</v>
      </c>
      <c r="H33" s="332">
        <f t="shared" si="11"/>
        <v>2015</v>
      </c>
      <c r="I33" s="332">
        <f t="shared" si="11"/>
        <v>2016</v>
      </c>
      <c r="J33" s="332">
        <f t="shared" si="11"/>
        <v>2017</v>
      </c>
      <c r="K33" s="332">
        <f t="shared" si="11"/>
        <v>2018</v>
      </c>
      <c r="L33" s="332">
        <f t="shared" si="11"/>
        <v>2019</v>
      </c>
      <c r="M33" s="332">
        <f t="shared" si="11"/>
        <v>2020</v>
      </c>
      <c r="N33" s="332">
        <f t="shared" si="11"/>
        <v>2021</v>
      </c>
      <c r="O33" s="332">
        <f t="shared" si="11"/>
        <v>2022</v>
      </c>
      <c r="P33" s="332">
        <f t="shared" si="11"/>
        <v>2023</v>
      </c>
      <c r="Q33" s="332">
        <f t="shared" si="11"/>
        <v>2024</v>
      </c>
      <c r="R33" s="330">
        <f t="shared" si="1"/>
        <v>28</v>
      </c>
    </row>
    <row r="34" spans="1:18" x14ac:dyDescent="0.25">
      <c r="A34" s="330">
        <f t="shared" si="0"/>
        <v>29</v>
      </c>
      <c r="B34" s="396" t="s">
        <v>2</v>
      </c>
      <c r="C34" s="397"/>
      <c r="D34" s="397"/>
      <c r="E34" s="398"/>
      <c r="F34" s="397"/>
      <c r="G34" s="397"/>
      <c r="H34" s="397"/>
      <c r="I34" s="397"/>
      <c r="J34" s="397"/>
      <c r="K34" s="399"/>
      <c r="L34" s="397"/>
      <c r="M34" s="397"/>
      <c r="N34" s="397"/>
      <c r="O34" s="397"/>
      <c r="P34" s="397"/>
      <c r="Q34" s="400"/>
      <c r="R34" s="330">
        <f t="shared" si="1"/>
        <v>29</v>
      </c>
    </row>
    <row r="35" spans="1:18" x14ac:dyDescent="0.25">
      <c r="A35" s="330">
        <f t="shared" si="0"/>
        <v>30</v>
      </c>
      <c r="B35" s="349" t="s">
        <v>332</v>
      </c>
      <c r="C35" s="334">
        <v>2.5000000000000001E-2</v>
      </c>
      <c r="D35" s="336">
        <v>25695.168000000001</v>
      </c>
      <c r="E35" s="336">
        <v>25695.168000000001</v>
      </c>
      <c r="F35" s="336">
        <f>E35*(1+$C35)</f>
        <v>26337.547200000001</v>
      </c>
      <c r="G35" s="336">
        <f t="shared" ref="G35:Q35" si="12">F35*(1+$C35)</f>
        <v>26995.98588</v>
      </c>
      <c r="H35" s="336">
        <f t="shared" si="12"/>
        <v>27670.885526999999</v>
      </c>
      <c r="I35" s="336">
        <f t="shared" si="12"/>
        <v>28362.657665174997</v>
      </c>
      <c r="J35" s="336">
        <v>53927</v>
      </c>
      <c r="K35" s="337">
        <v>61981</v>
      </c>
      <c r="L35" s="336">
        <f t="shared" si="12"/>
        <v>63530.524999999994</v>
      </c>
      <c r="M35" s="336">
        <f t="shared" si="12"/>
        <v>65118.788124999992</v>
      </c>
      <c r="N35" s="336">
        <f t="shared" si="12"/>
        <v>66746.757828124988</v>
      </c>
      <c r="O35" s="336">
        <f t="shared" si="12"/>
        <v>68415.426773828105</v>
      </c>
      <c r="P35" s="336">
        <f t="shared" si="12"/>
        <v>70125.812443173796</v>
      </c>
      <c r="Q35" s="338">
        <f t="shared" si="12"/>
        <v>71878.957754253133</v>
      </c>
      <c r="R35" s="330">
        <f t="shared" si="1"/>
        <v>30</v>
      </c>
    </row>
    <row r="36" spans="1:18" x14ac:dyDescent="0.25">
      <c r="A36" s="330">
        <f t="shared" si="0"/>
        <v>31</v>
      </c>
      <c r="B36" s="349" t="s">
        <v>333</v>
      </c>
      <c r="C36" s="334">
        <v>2.5000000000000001E-2</v>
      </c>
      <c r="D36" s="336">
        <v>14326.511999999999</v>
      </c>
      <c r="E36" s="336">
        <v>14326.511999999999</v>
      </c>
      <c r="F36" s="336">
        <f t="shared" ref="F36:Q41" si="13">E36*(1+$C36)</f>
        <v>14684.674799999997</v>
      </c>
      <c r="G36" s="336">
        <f t="shared" si="13"/>
        <v>15051.791669999995</v>
      </c>
      <c r="H36" s="336">
        <f t="shared" si="13"/>
        <v>15428.086461749994</v>
      </c>
      <c r="I36" s="336">
        <f t="shared" si="13"/>
        <v>15813.788623293742</v>
      </c>
      <c r="J36" s="336">
        <v>20062</v>
      </c>
      <c r="K36" s="337">
        <v>25599</v>
      </c>
      <c r="L36" s="336">
        <f t="shared" si="13"/>
        <v>26238.974999999999</v>
      </c>
      <c r="M36" s="336">
        <f t="shared" si="13"/>
        <v>26894.949374999997</v>
      </c>
      <c r="N36" s="336">
        <f t="shared" si="13"/>
        <v>27567.323109374993</v>
      </c>
      <c r="O36" s="336">
        <f t="shared" si="13"/>
        <v>28256.506187109364</v>
      </c>
      <c r="P36" s="336">
        <f t="shared" si="13"/>
        <v>28962.918841787097</v>
      </c>
      <c r="Q36" s="338">
        <f t="shared" si="13"/>
        <v>29686.991812831773</v>
      </c>
      <c r="R36" s="330">
        <f t="shared" si="1"/>
        <v>31</v>
      </c>
    </row>
    <row r="37" spans="1:18" x14ac:dyDescent="0.25">
      <c r="A37" s="330">
        <f t="shared" si="0"/>
        <v>32</v>
      </c>
      <c r="B37" s="349" t="s">
        <v>4</v>
      </c>
      <c r="C37" s="334">
        <v>2.5000000000000001E-2</v>
      </c>
      <c r="D37" s="336">
        <v>2573.04</v>
      </c>
      <c r="E37" s="336">
        <v>2573.04</v>
      </c>
      <c r="F37" s="336">
        <f t="shared" si="13"/>
        <v>2637.3659999999995</v>
      </c>
      <c r="G37" s="336">
        <f t="shared" si="13"/>
        <v>2703.3001499999991</v>
      </c>
      <c r="H37" s="336">
        <f t="shared" si="13"/>
        <v>2770.882653749999</v>
      </c>
      <c r="I37" s="336">
        <f t="shared" si="13"/>
        <v>2840.1547200937489</v>
      </c>
      <c r="J37" s="336">
        <v>3055</v>
      </c>
      <c r="K37" s="337">
        <v>0</v>
      </c>
      <c r="L37" s="336">
        <f t="shared" si="13"/>
        <v>0</v>
      </c>
      <c r="M37" s="336">
        <f t="shared" si="13"/>
        <v>0</v>
      </c>
      <c r="N37" s="336">
        <f t="shared" si="13"/>
        <v>0</v>
      </c>
      <c r="O37" s="336">
        <f t="shared" si="13"/>
        <v>0</v>
      </c>
      <c r="P37" s="336">
        <f t="shared" si="13"/>
        <v>0</v>
      </c>
      <c r="Q37" s="338">
        <f t="shared" si="13"/>
        <v>0</v>
      </c>
      <c r="R37" s="330">
        <f t="shared" si="1"/>
        <v>32</v>
      </c>
    </row>
    <row r="38" spans="1:18" x14ac:dyDescent="0.25">
      <c r="A38" s="330">
        <f t="shared" si="0"/>
        <v>33</v>
      </c>
      <c r="B38" s="349" t="s">
        <v>5</v>
      </c>
      <c r="C38" s="334">
        <v>2.5000000000000001E-2</v>
      </c>
      <c r="D38" s="336">
        <v>39358.28</v>
      </c>
      <c r="E38" s="336">
        <v>39358.28</v>
      </c>
      <c r="F38" s="336">
        <f t="shared" si="13"/>
        <v>40342.236999999994</v>
      </c>
      <c r="G38" s="336">
        <f t="shared" si="13"/>
        <v>41350.792924999987</v>
      </c>
      <c r="H38" s="336">
        <f t="shared" si="13"/>
        <v>42384.562748124983</v>
      </c>
      <c r="I38" s="336">
        <f t="shared" si="13"/>
        <v>43444.176816828105</v>
      </c>
      <c r="J38" s="336">
        <v>71726</v>
      </c>
      <c r="K38" s="337">
        <v>77406.240000000005</v>
      </c>
      <c r="L38" s="336">
        <f t="shared" si="13"/>
        <v>79341.395999999993</v>
      </c>
      <c r="M38" s="336">
        <f t="shared" si="13"/>
        <v>81324.930899999992</v>
      </c>
      <c r="N38" s="336">
        <f t="shared" si="13"/>
        <v>83358.054172499978</v>
      </c>
      <c r="O38" s="336">
        <f t="shared" si="13"/>
        <v>85442.005526812471</v>
      </c>
      <c r="P38" s="336">
        <f t="shared" si="13"/>
        <v>87578.055664982778</v>
      </c>
      <c r="Q38" s="338">
        <f t="shared" si="13"/>
        <v>89767.507056607341</v>
      </c>
      <c r="R38" s="330">
        <f t="shared" si="1"/>
        <v>33</v>
      </c>
    </row>
    <row r="39" spans="1:18" x14ac:dyDescent="0.25">
      <c r="A39" s="330">
        <f t="shared" si="0"/>
        <v>34</v>
      </c>
      <c r="B39" s="349" t="s">
        <v>6</v>
      </c>
      <c r="C39" s="334">
        <v>2.5000000000000001E-2</v>
      </c>
      <c r="D39" s="336">
        <v>6992.82</v>
      </c>
      <c r="E39" s="336">
        <v>6992.82</v>
      </c>
      <c r="F39" s="336">
        <f t="shared" si="13"/>
        <v>7167.6404999999995</v>
      </c>
      <c r="G39" s="336">
        <f t="shared" si="13"/>
        <v>7346.831512499999</v>
      </c>
      <c r="H39" s="336">
        <f t="shared" si="13"/>
        <v>7530.5023003124979</v>
      </c>
      <c r="I39" s="336">
        <f t="shared" si="13"/>
        <v>7718.7648578203098</v>
      </c>
      <c r="J39" s="336">
        <v>5050</v>
      </c>
      <c r="K39" s="337">
        <v>6118</v>
      </c>
      <c r="L39" s="336">
        <f t="shared" si="13"/>
        <v>6270.95</v>
      </c>
      <c r="M39" s="336">
        <f t="shared" si="13"/>
        <v>6427.7237499999992</v>
      </c>
      <c r="N39" s="336">
        <f t="shared" si="13"/>
        <v>6588.4168437499984</v>
      </c>
      <c r="O39" s="336">
        <f t="shared" si="13"/>
        <v>6753.127264843748</v>
      </c>
      <c r="P39" s="336">
        <f t="shared" si="13"/>
        <v>6921.9554464648409</v>
      </c>
      <c r="Q39" s="338">
        <f t="shared" si="13"/>
        <v>7095.0043326264613</v>
      </c>
      <c r="R39" s="330">
        <f t="shared" si="1"/>
        <v>34</v>
      </c>
    </row>
    <row r="40" spans="1:18" x14ac:dyDescent="0.25">
      <c r="A40" s="330">
        <f t="shared" si="0"/>
        <v>35</v>
      </c>
      <c r="B40" s="359" t="s">
        <v>334</v>
      </c>
      <c r="C40" s="334">
        <v>2.5000000000000001E-2</v>
      </c>
      <c r="D40" s="336"/>
      <c r="E40" s="336">
        <v>0</v>
      </c>
      <c r="F40" s="336">
        <f t="shared" si="13"/>
        <v>0</v>
      </c>
      <c r="G40" s="336">
        <f t="shared" si="13"/>
        <v>0</v>
      </c>
      <c r="H40" s="336">
        <f t="shared" si="13"/>
        <v>0</v>
      </c>
      <c r="I40" s="336">
        <f t="shared" si="13"/>
        <v>0</v>
      </c>
      <c r="J40" s="336">
        <v>0</v>
      </c>
      <c r="K40" s="337">
        <f>J40</f>
        <v>0</v>
      </c>
      <c r="L40" s="336">
        <f t="shared" si="13"/>
        <v>0</v>
      </c>
      <c r="M40" s="336">
        <f t="shared" si="13"/>
        <v>0</v>
      </c>
      <c r="N40" s="336">
        <f t="shared" si="13"/>
        <v>0</v>
      </c>
      <c r="O40" s="336">
        <f t="shared" si="13"/>
        <v>0</v>
      </c>
      <c r="P40" s="336">
        <f t="shared" si="13"/>
        <v>0</v>
      </c>
      <c r="Q40" s="338">
        <f t="shared" si="13"/>
        <v>0</v>
      </c>
      <c r="R40" s="330">
        <f t="shared" si="1"/>
        <v>35</v>
      </c>
    </row>
    <row r="41" spans="1:18" x14ac:dyDescent="0.25">
      <c r="A41" s="330">
        <f t="shared" si="0"/>
        <v>36</v>
      </c>
      <c r="B41" s="349" t="s">
        <v>7</v>
      </c>
      <c r="C41" s="334">
        <v>2.5000000000000001E-2</v>
      </c>
      <c r="D41" s="336">
        <v>190725.82799999998</v>
      </c>
      <c r="E41" s="336">
        <v>190725.82799999998</v>
      </c>
      <c r="F41" s="336">
        <f t="shared" si="13"/>
        <v>195493.97369999997</v>
      </c>
      <c r="G41" s="336">
        <f t="shared" si="13"/>
        <v>200381.32304249995</v>
      </c>
      <c r="H41" s="336">
        <f t="shared" si="13"/>
        <v>205390.85611856243</v>
      </c>
      <c r="I41" s="336">
        <f t="shared" si="13"/>
        <v>210525.62752152648</v>
      </c>
      <c r="J41" s="336">
        <v>256791</v>
      </c>
      <c r="K41" s="337">
        <v>296420</v>
      </c>
      <c r="L41" s="336">
        <f t="shared" si="13"/>
        <v>303830.5</v>
      </c>
      <c r="M41" s="336">
        <f t="shared" si="13"/>
        <v>311426.26249999995</v>
      </c>
      <c r="N41" s="336">
        <f t="shared" si="13"/>
        <v>319211.91906249995</v>
      </c>
      <c r="O41" s="336">
        <f t="shared" si="13"/>
        <v>327192.21703906241</v>
      </c>
      <c r="P41" s="336">
        <f t="shared" si="13"/>
        <v>335372.02246503893</v>
      </c>
      <c r="Q41" s="338">
        <f t="shared" si="13"/>
        <v>343756.32302666485</v>
      </c>
      <c r="R41" s="330">
        <f t="shared" si="1"/>
        <v>36</v>
      </c>
    </row>
    <row r="42" spans="1:18" x14ac:dyDescent="0.25">
      <c r="A42" s="330">
        <f t="shared" si="0"/>
        <v>37</v>
      </c>
      <c r="B42" s="339" t="s">
        <v>327</v>
      </c>
      <c r="C42" s="340"/>
      <c r="D42" s="342">
        <f t="shared" ref="D42:J42" si="14">SUM(D35:D41)</f>
        <v>279671.64799999999</v>
      </c>
      <c r="E42" s="342">
        <f t="shared" si="14"/>
        <v>279671.64799999999</v>
      </c>
      <c r="F42" s="342">
        <f t="shared" si="14"/>
        <v>286663.43919999996</v>
      </c>
      <c r="G42" s="342">
        <f t="shared" si="14"/>
        <v>293830.02517999994</v>
      </c>
      <c r="H42" s="342">
        <f t="shared" si="14"/>
        <v>301175.7758094999</v>
      </c>
      <c r="I42" s="342">
        <f t="shared" si="14"/>
        <v>308705.1702047374</v>
      </c>
      <c r="J42" s="342">
        <f t="shared" si="14"/>
        <v>410611</v>
      </c>
      <c r="K42" s="343">
        <f>SUM(K35:K41)</f>
        <v>467524.24</v>
      </c>
      <c r="L42" s="342">
        <f t="shared" ref="L42:Q42" si="15">SUM(L35:L41)</f>
        <v>479212.34600000002</v>
      </c>
      <c r="M42" s="342">
        <f t="shared" si="15"/>
        <v>491192.65464999992</v>
      </c>
      <c r="N42" s="342">
        <f t="shared" si="15"/>
        <v>503472.47101624991</v>
      </c>
      <c r="O42" s="342">
        <f t="shared" si="15"/>
        <v>516059.28279165609</v>
      </c>
      <c r="P42" s="342">
        <f t="shared" si="15"/>
        <v>528960.7648614475</v>
      </c>
      <c r="Q42" s="344">
        <f t="shared" si="15"/>
        <v>542184.78398298356</v>
      </c>
      <c r="R42" s="330">
        <f t="shared" si="1"/>
        <v>37</v>
      </c>
    </row>
    <row r="43" spans="1:18" ht="15.75" thickBot="1" x14ac:dyDescent="0.3">
      <c r="A43" s="330">
        <f t="shared" si="0"/>
        <v>38</v>
      </c>
      <c r="B43" s="360"/>
      <c r="C43" s="352"/>
      <c r="D43" s="352"/>
      <c r="E43" s="352"/>
      <c r="F43" s="352"/>
      <c r="G43" s="352"/>
      <c r="H43" s="352"/>
      <c r="I43" s="352"/>
      <c r="J43" s="361">
        <f>375000/J42</f>
        <v>0.91327314660347625</v>
      </c>
      <c r="K43" s="362">
        <f>K42/1.2</f>
        <v>389603.53333333333</v>
      </c>
      <c r="L43" s="352"/>
      <c r="M43" s="352"/>
      <c r="N43" s="352"/>
      <c r="O43" s="352"/>
      <c r="P43" s="352"/>
      <c r="Q43" s="363"/>
      <c r="R43" s="330">
        <f t="shared" si="1"/>
        <v>38</v>
      </c>
    </row>
    <row r="44" spans="1:18" x14ac:dyDescent="0.25">
      <c r="A44" s="330">
        <f t="shared" si="0"/>
        <v>39</v>
      </c>
      <c r="B44" s="396" t="s">
        <v>9</v>
      </c>
      <c r="C44" s="397"/>
      <c r="D44" s="397"/>
      <c r="E44" s="398"/>
      <c r="F44" s="397"/>
      <c r="G44" s="397"/>
      <c r="H44" s="397"/>
      <c r="I44" s="397"/>
      <c r="J44" s="397"/>
      <c r="K44" s="399"/>
      <c r="L44" s="397"/>
      <c r="M44" s="397"/>
      <c r="N44" s="397"/>
      <c r="O44" s="397"/>
      <c r="P44" s="397"/>
      <c r="Q44" s="400"/>
      <c r="R44" s="330">
        <f t="shared" si="1"/>
        <v>39</v>
      </c>
    </row>
    <row r="45" spans="1:18" x14ac:dyDescent="0.25">
      <c r="A45" s="330">
        <f t="shared" si="0"/>
        <v>40</v>
      </c>
      <c r="B45" s="364" t="s">
        <v>10</v>
      </c>
      <c r="C45" s="365">
        <v>2.5000000000000001E-2</v>
      </c>
      <c r="D45" s="336">
        <v>11231.099999999999</v>
      </c>
      <c r="E45" s="350"/>
      <c r="F45" s="336">
        <f>E45*(1+$C45)</f>
        <v>0</v>
      </c>
      <c r="G45" s="336">
        <f t="shared" ref="G45:Q56" si="16">F45*(1+$C45)</f>
        <v>0</v>
      </c>
      <c r="H45" s="336">
        <f t="shared" si="16"/>
        <v>0</v>
      </c>
      <c r="I45" s="336">
        <f t="shared" si="16"/>
        <v>0</v>
      </c>
      <c r="J45" s="336">
        <f t="shared" si="16"/>
        <v>0</v>
      </c>
      <c r="K45" s="337">
        <f t="shared" si="16"/>
        <v>0</v>
      </c>
      <c r="L45" s="336">
        <f t="shared" si="16"/>
        <v>0</v>
      </c>
      <c r="M45" s="336">
        <f t="shared" si="16"/>
        <v>0</v>
      </c>
      <c r="N45" s="336">
        <f t="shared" si="16"/>
        <v>0</v>
      </c>
      <c r="O45" s="336">
        <f t="shared" si="16"/>
        <v>0</v>
      </c>
      <c r="P45" s="336">
        <f t="shared" si="16"/>
        <v>0</v>
      </c>
      <c r="Q45" s="338">
        <f t="shared" si="16"/>
        <v>0</v>
      </c>
      <c r="R45" s="330">
        <f t="shared" si="1"/>
        <v>40</v>
      </c>
    </row>
    <row r="46" spans="1:18" x14ac:dyDescent="0.25">
      <c r="A46" s="330">
        <f t="shared" si="0"/>
        <v>41</v>
      </c>
      <c r="B46" s="349" t="s">
        <v>335</v>
      </c>
      <c r="C46" s="365">
        <v>2.5000000000000001E-2</v>
      </c>
      <c r="D46" s="336">
        <v>1278.768</v>
      </c>
      <c r="E46" s="350">
        <v>1300</v>
      </c>
      <c r="F46" s="336">
        <f>E46*(1+$C46)</f>
        <v>1332.4999999999998</v>
      </c>
      <c r="G46" s="336">
        <f>F46*(1+$C46)</f>
        <v>1365.8124999999995</v>
      </c>
      <c r="H46" s="336">
        <f>G46*(1+$C46)</f>
        <v>1399.9578124999994</v>
      </c>
      <c r="I46" s="336">
        <f>H46*(1+$C46)</f>
        <v>1434.9567578124993</v>
      </c>
      <c r="J46" s="336">
        <v>2903</v>
      </c>
      <c r="K46" s="337">
        <v>3000</v>
      </c>
      <c r="L46" s="336">
        <f t="shared" si="16"/>
        <v>3074.9999999999995</v>
      </c>
      <c r="M46" s="336">
        <f t="shared" si="16"/>
        <v>3151.8749999999991</v>
      </c>
      <c r="N46" s="336">
        <f t="shared" si="16"/>
        <v>3230.6718749999986</v>
      </c>
      <c r="O46" s="336">
        <f t="shared" si="16"/>
        <v>3311.4386718749984</v>
      </c>
      <c r="P46" s="336">
        <f t="shared" si="16"/>
        <v>3394.224638671873</v>
      </c>
      <c r="Q46" s="338">
        <f t="shared" si="16"/>
        <v>3479.0802546386694</v>
      </c>
      <c r="R46" s="330">
        <f t="shared" si="1"/>
        <v>41</v>
      </c>
    </row>
    <row r="47" spans="1:18" x14ac:dyDescent="0.25">
      <c r="A47" s="330">
        <f t="shared" si="0"/>
        <v>42</v>
      </c>
      <c r="B47" s="349" t="s">
        <v>11</v>
      </c>
      <c r="C47" s="366"/>
      <c r="D47" s="366" t="s">
        <v>336</v>
      </c>
      <c r="E47" s="350"/>
      <c r="F47" s="336"/>
      <c r="G47" s="336"/>
      <c r="H47" s="336"/>
      <c r="I47" s="336"/>
      <c r="J47" s="336"/>
      <c r="K47" s="337"/>
      <c r="L47" s="336">
        <f t="shared" si="16"/>
        <v>0</v>
      </c>
      <c r="M47" s="336">
        <f t="shared" si="16"/>
        <v>0</v>
      </c>
      <c r="N47" s="336">
        <f t="shared" si="16"/>
        <v>0</v>
      </c>
      <c r="O47" s="336">
        <f t="shared" si="16"/>
        <v>0</v>
      </c>
      <c r="P47" s="336">
        <f t="shared" si="16"/>
        <v>0</v>
      </c>
      <c r="Q47" s="338">
        <f t="shared" si="16"/>
        <v>0</v>
      </c>
      <c r="R47" s="330">
        <f t="shared" si="1"/>
        <v>42</v>
      </c>
    </row>
    <row r="48" spans="1:18" x14ac:dyDescent="0.25">
      <c r="A48" s="330">
        <f t="shared" si="0"/>
        <v>43</v>
      </c>
      <c r="B48" s="364" t="s">
        <v>12</v>
      </c>
      <c r="C48" s="365">
        <v>2.5000000000000001E-2</v>
      </c>
      <c r="D48" s="336">
        <v>6795</v>
      </c>
      <c r="E48" s="350">
        <v>3500</v>
      </c>
      <c r="F48" s="336">
        <f>E48*(1+$C48)</f>
        <v>3587.4999999999995</v>
      </c>
      <c r="G48" s="336">
        <f>F48*(1+$C48)</f>
        <v>3677.1874999999991</v>
      </c>
      <c r="H48" s="336">
        <f>G48*(1+$C48)</f>
        <v>3769.1171874999986</v>
      </c>
      <c r="I48" s="336">
        <f>H48*(1+$C48)</f>
        <v>3863.3451171874981</v>
      </c>
      <c r="J48" s="336">
        <v>2575</v>
      </c>
      <c r="K48" s="337">
        <v>5200</v>
      </c>
      <c r="L48" s="336">
        <f t="shared" si="16"/>
        <v>5329.9999999999991</v>
      </c>
      <c r="M48" s="336">
        <f t="shared" si="16"/>
        <v>5463.2499999999982</v>
      </c>
      <c r="N48" s="336">
        <f t="shared" si="16"/>
        <v>5599.8312499999975</v>
      </c>
      <c r="O48" s="336">
        <f t="shared" si="16"/>
        <v>5739.8270312499972</v>
      </c>
      <c r="P48" s="336">
        <f t="shared" si="16"/>
        <v>5883.3227070312469</v>
      </c>
      <c r="Q48" s="338">
        <f t="shared" si="16"/>
        <v>6030.4057747070274</v>
      </c>
      <c r="R48" s="330">
        <f t="shared" si="1"/>
        <v>43</v>
      </c>
    </row>
    <row r="49" spans="1:18" x14ac:dyDescent="0.25">
      <c r="A49" s="330">
        <f t="shared" si="0"/>
        <v>44</v>
      </c>
      <c r="B49" s="364" t="s">
        <v>337</v>
      </c>
      <c r="C49" s="365">
        <v>2.5000000000000001E-2</v>
      </c>
      <c r="D49" s="336">
        <v>542.29200000000003</v>
      </c>
      <c r="E49" s="350"/>
      <c r="F49" s="336">
        <f t="shared" ref="F49:Q64" si="17">E49*(1+$C49)</f>
        <v>0</v>
      </c>
      <c r="G49" s="336">
        <f t="shared" si="17"/>
        <v>0</v>
      </c>
      <c r="H49" s="336">
        <f t="shared" si="17"/>
        <v>0</v>
      </c>
      <c r="I49" s="336">
        <f t="shared" si="17"/>
        <v>0</v>
      </c>
      <c r="J49" s="336">
        <f t="shared" si="17"/>
        <v>0</v>
      </c>
      <c r="K49" s="337">
        <f t="shared" si="17"/>
        <v>0</v>
      </c>
      <c r="L49" s="336">
        <f t="shared" si="16"/>
        <v>0</v>
      </c>
      <c r="M49" s="336">
        <f t="shared" si="16"/>
        <v>0</v>
      </c>
      <c r="N49" s="336">
        <f t="shared" si="16"/>
        <v>0</v>
      </c>
      <c r="O49" s="336">
        <f t="shared" si="16"/>
        <v>0</v>
      </c>
      <c r="P49" s="336">
        <f t="shared" si="16"/>
        <v>0</v>
      </c>
      <c r="Q49" s="338">
        <f t="shared" si="16"/>
        <v>0</v>
      </c>
      <c r="R49" s="330">
        <f t="shared" si="1"/>
        <v>44</v>
      </c>
    </row>
    <row r="50" spans="1:18" x14ac:dyDescent="0.25">
      <c r="A50" s="330">
        <f t="shared" si="0"/>
        <v>45</v>
      </c>
      <c r="B50" s="349" t="s">
        <v>338</v>
      </c>
      <c r="C50" s="365">
        <v>2.5000000000000001E-2</v>
      </c>
      <c r="D50" s="336">
        <v>17990.232000000004</v>
      </c>
      <c r="E50" s="350">
        <v>16450</v>
      </c>
      <c r="F50" s="336">
        <f t="shared" si="17"/>
        <v>16861.25</v>
      </c>
      <c r="G50" s="336">
        <f t="shared" si="17"/>
        <v>17282.78125</v>
      </c>
      <c r="H50" s="336">
        <f t="shared" si="17"/>
        <v>17714.850781249999</v>
      </c>
      <c r="I50" s="336">
        <f t="shared" si="17"/>
        <v>18157.722050781249</v>
      </c>
      <c r="J50" s="336">
        <v>18900</v>
      </c>
      <c r="K50" s="337">
        <v>18000</v>
      </c>
      <c r="L50" s="336">
        <f t="shared" si="16"/>
        <v>18450</v>
      </c>
      <c r="M50" s="336">
        <f t="shared" si="16"/>
        <v>18911.25</v>
      </c>
      <c r="N50" s="336">
        <f t="shared" si="16"/>
        <v>19384.03125</v>
      </c>
      <c r="O50" s="336">
        <f t="shared" si="16"/>
        <v>19868.632031249999</v>
      </c>
      <c r="P50" s="336">
        <f t="shared" si="16"/>
        <v>20365.347832031246</v>
      </c>
      <c r="Q50" s="338">
        <f t="shared" si="16"/>
        <v>20874.481527832024</v>
      </c>
      <c r="R50" s="330">
        <f t="shared" si="1"/>
        <v>45</v>
      </c>
    </row>
    <row r="51" spans="1:18" x14ac:dyDescent="0.25">
      <c r="A51" s="330">
        <f t="shared" si="0"/>
        <v>46</v>
      </c>
      <c r="B51" s="349" t="s">
        <v>13</v>
      </c>
      <c r="C51" s="365">
        <v>2.5000000000000001E-2</v>
      </c>
      <c r="D51" s="336">
        <v>0</v>
      </c>
      <c r="E51" s="350"/>
      <c r="F51" s="336">
        <f t="shared" si="17"/>
        <v>0</v>
      </c>
      <c r="G51" s="336">
        <f t="shared" si="17"/>
        <v>0</v>
      </c>
      <c r="H51" s="336">
        <f t="shared" si="17"/>
        <v>0</v>
      </c>
      <c r="I51" s="336">
        <f t="shared" si="17"/>
        <v>0</v>
      </c>
      <c r="J51" s="336">
        <v>0</v>
      </c>
      <c r="K51" s="337">
        <v>500</v>
      </c>
      <c r="L51" s="336">
        <f t="shared" si="16"/>
        <v>512.5</v>
      </c>
      <c r="M51" s="336">
        <f t="shared" si="16"/>
        <v>525.3125</v>
      </c>
      <c r="N51" s="336">
        <f t="shared" si="16"/>
        <v>538.4453125</v>
      </c>
      <c r="O51" s="336">
        <f t="shared" si="16"/>
        <v>551.90644531249995</v>
      </c>
      <c r="P51" s="336">
        <f t="shared" si="16"/>
        <v>565.70410644531239</v>
      </c>
      <c r="Q51" s="338">
        <f t="shared" si="16"/>
        <v>579.84670910644513</v>
      </c>
      <c r="R51" s="330">
        <f t="shared" si="1"/>
        <v>46</v>
      </c>
    </row>
    <row r="52" spans="1:18" x14ac:dyDescent="0.25">
      <c r="A52" s="330">
        <f t="shared" si="0"/>
        <v>47</v>
      </c>
      <c r="B52" s="349" t="s">
        <v>14</v>
      </c>
      <c r="C52" s="365">
        <v>2.5000000000000001E-2</v>
      </c>
      <c r="D52" s="336">
        <v>13083.084000000001</v>
      </c>
      <c r="E52" s="350">
        <v>16000</v>
      </c>
      <c r="F52" s="336">
        <f t="shared" si="17"/>
        <v>16400</v>
      </c>
      <c r="G52" s="336">
        <f t="shared" si="17"/>
        <v>16810</v>
      </c>
      <c r="H52" s="336">
        <f t="shared" si="17"/>
        <v>17230.25</v>
      </c>
      <c r="I52" s="336">
        <f t="shared" si="17"/>
        <v>17661.006249999999</v>
      </c>
      <c r="J52" s="336">
        <v>15000</v>
      </c>
      <c r="K52" s="337">
        <v>10000</v>
      </c>
      <c r="L52" s="336">
        <f t="shared" si="16"/>
        <v>10250</v>
      </c>
      <c r="M52" s="336">
        <f t="shared" si="16"/>
        <v>10506.249999999998</v>
      </c>
      <c r="N52" s="336">
        <f t="shared" si="16"/>
        <v>10768.906249999996</v>
      </c>
      <c r="O52" s="336">
        <f t="shared" si="16"/>
        <v>11038.128906249995</v>
      </c>
      <c r="P52" s="336">
        <f t="shared" si="16"/>
        <v>11314.082128906244</v>
      </c>
      <c r="Q52" s="338">
        <f t="shared" si="16"/>
        <v>11596.9341821289</v>
      </c>
      <c r="R52" s="330">
        <f t="shared" si="1"/>
        <v>47</v>
      </c>
    </row>
    <row r="53" spans="1:18" x14ac:dyDescent="0.25">
      <c r="A53" s="330">
        <f t="shared" si="0"/>
        <v>48</v>
      </c>
      <c r="B53" s="349" t="s">
        <v>15</v>
      </c>
      <c r="C53" s="365">
        <v>2.5000000000000001E-2</v>
      </c>
      <c r="D53" s="336">
        <v>8231.2559999999994</v>
      </c>
      <c r="E53" s="350">
        <v>8200</v>
      </c>
      <c r="F53" s="336">
        <f t="shared" si="17"/>
        <v>8405</v>
      </c>
      <c r="G53" s="336">
        <f t="shared" si="17"/>
        <v>8615.125</v>
      </c>
      <c r="H53" s="336">
        <f t="shared" si="17"/>
        <v>8830.5031249999993</v>
      </c>
      <c r="I53" s="336">
        <f t="shared" si="17"/>
        <v>9051.2657031249983</v>
      </c>
      <c r="J53" s="336">
        <v>12000</v>
      </c>
      <c r="K53" s="337">
        <v>8000</v>
      </c>
      <c r="L53" s="336">
        <f t="shared" si="16"/>
        <v>8200</v>
      </c>
      <c r="M53" s="336">
        <f t="shared" si="16"/>
        <v>8405</v>
      </c>
      <c r="N53" s="336">
        <f t="shared" si="16"/>
        <v>8615.125</v>
      </c>
      <c r="O53" s="336">
        <f t="shared" si="16"/>
        <v>8830.5031249999993</v>
      </c>
      <c r="P53" s="336">
        <f t="shared" si="16"/>
        <v>9051.2657031249983</v>
      </c>
      <c r="Q53" s="338">
        <f t="shared" si="16"/>
        <v>9277.5473457031221</v>
      </c>
      <c r="R53" s="330">
        <f t="shared" si="1"/>
        <v>48</v>
      </c>
    </row>
    <row r="54" spans="1:18" x14ac:dyDescent="0.25">
      <c r="A54" s="330">
        <f t="shared" si="0"/>
        <v>49</v>
      </c>
      <c r="B54" s="349" t="s">
        <v>339</v>
      </c>
      <c r="C54" s="365">
        <v>2.5000000000000001E-2</v>
      </c>
      <c r="D54" s="336">
        <v>0</v>
      </c>
      <c r="E54" s="350"/>
      <c r="F54" s="336">
        <f t="shared" si="17"/>
        <v>0</v>
      </c>
      <c r="G54" s="336">
        <f t="shared" si="17"/>
        <v>0</v>
      </c>
      <c r="H54" s="336">
        <f t="shared" si="17"/>
        <v>0</v>
      </c>
      <c r="I54" s="336">
        <f t="shared" si="17"/>
        <v>0</v>
      </c>
      <c r="J54" s="336">
        <f t="shared" si="17"/>
        <v>0</v>
      </c>
      <c r="K54" s="337">
        <f t="shared" si="17"/>
        <v>0</v>
      </c>
      <c r="L54" s="336">
        <f t="shared" si="16"/>
        <v>0</v>
      </c>
      <c r="M54" s="336">
        <f t="shared" si="16"/>
        <v>0</v>
      </c>
      <c r="N54" s="336">
        <f t="shared" si="16"/>
        <v>0</v>
      </c>
      <c r="O54" s="336">
        <f t="shared" si="16"/>
        <v>0</v>
      </c>
      <c r="P54" s="336">
        <f t="shared" si="16"/>
        <v>0</v>
      </c>
      <c r="Q54" s="338">
        <f t="shared" si="16"/>
        <v>0</v>
      </c>
      <c r="R54" s="330">
        <f t="shared" si="1"/>
        <v>49</v>
      </c>
    </row>
    <row r="55" spans="1:18" x14ac:dyDescent="0.25">
      <c r="A55" s="330">
        <f t="shared" si="0"/>
        <v>50</v>
      </c>
      <c r="B55" s="349" t="s">
        <v>16</v>
      </c>
      <c r="C55" s="365">
        <v>2.5000000000000001E-2</v>
      </c>
      <c r="D55" s="336">
        <v>7666.7999999999993</v>
      </c>
      <c r="E55" s="350">
        <v>7700</v>
      </c>
      <c r="F55" s="336">
        <f t="shared" si="17"/>
        <v>7892.4999999999991</v>
      </c>
      <c r="G55" s="336">
        <f t="shared" si="17"/>
        <v>8089.8124999999982</v>
      </c>
      <c r="H55" s="336">
        <f t="shared" si="17"/>
        <v>8292.0578124999975</v>
      </c>
      <c r="I55" s="336">
        <f t="shared" si="17"/>
        <v>8499.3592578124972</v>
      </c>
      <c r="J55" s="336">
        <v>9800</v>
      </c>
      <c r="K55" s="337">
        <v>9000</v>
      </c>
      <c r="L55" s="336">
        <f t="shared" si="16"/>
        <v>9225</v>
      </c>
      <c r="M55" s="336">
        <f t="shared" si="16"/>
        <v>9455.625</v>
      </c>
      <c r="N55" s="336">
        <f t="shared" si="16"/>
        <v>9692.015625</v>
      </c>
      <c r="O55" s="336">
        <f t="shared" si="16"/>
        <v>9934.3160156249996</v>
      </c>
      <c r="P55" s="336">
        <f t="shared" si="16"/>
        <v>10182.673916015623</v>
      </c>
      <c r="Q55" s="338">
        <f t="shared" si="16"/>
        <v>10437.240763916012</v>
      </c>
      <c r="R55" s="330">
        <f t="shared" si="1"/>
        <v>50</v>
      </c>
    </row>
    <row r="56" spans="1:18" x14ac:dyDescent="0.25">
      <c r="A56" s="330">
        <f t="shared" si="0"/>
        <v>51</v>
      </c>
      <c r="B56" s="349" t="s">
        <v>17</v>
      </c>
      <c r="C56" s="365">
        <v>2.5000000000000001E-2</v>
      </c>
      <c r="D56" s="336">
        <v>3871.0800000000004</v>
      </c>
      <c r="E56" s="350">
        <v>4158</v>
      </c>
      <c r="F56" s="336">
        <f t="shared" si="17"/>
        <v>4261.95</v>
      </c>
      <c r="G56" s="336">
        <f t="shared" si="17"/>
        <v>4368.4987499999997</v>
      </c>
      <c r="H56" s="336">
        <f t="shared" si="17"/>
        <v>4477.7112187499997</v>
      </c>
      <c r="I56" s="336">
        <f t="shared" si="17"/>
        <v>4589.653999218749</v>
      </c>
      <c r="J56" s="336">
        <v>3900</v>
      </c>
      <c r="K56" s="337">
        <v>3900</v>
      </c>
      <c r="L56" s="336">
        <f t="shared" si="16"/>
        <v>3997.4999999999995</v>
      </c>
      <c r="M56" s="336">
        <f t="shared" si="16"/>
        <v>4097.4374999999991</v>
      </c>
      <c r="N56" s="336">
        <f t="shared" si="16"/>
        <v>4199.8734374999985</v>
      </c>
      <c r="O56" s="336">
        <f t="shared" si="16"/>
        <v>4304.8702734374983</v>
      </c>
      <c r="P56" s="336">
        <f t="shared" si="16"/>
        <v>4412.4920302734354</v>
      </c>
      <c r="Q56" s="338">
        <f t="shared" si="16"/>
        <v>4522.804331030271</v>
      </c>
      <c r="R56" s="330">
        <f t="shared" si="1"/>
        <v>51</v>
      </c>
    </row>
    <row r="57" spans="1:18" x14ac:dyDescent="0.25">
      <c r="A57" s="330">
        <f t="shared" si="0"/>
        <v>52</v>
      </c>
      <c r="B57" s="349" t="s">
        <v>18</v>
      </c>
      <c r="C57" s="365">
        <v>2.5000000000000001E-2</v>
      </c>
      <c r="D57" s="336">
        <v>2209.1640000000002</v>
      </c>
      <c r="E57" s="350">
        <v>4500</v>
      </c>
      <c r="F57" s="336">
        <f t="shared" si="17"/>
        <v>4612.5</v>
      </c>
      <c r="G57" s="336">
        <f t="shared" si="17"/>
        <v>4727.8125</v>
      </c>
      <c r="H57" s="336">
        <f t="shared" si="17"/>
        <v>4846.0078125</v>
      </c>
      <c r="I57" s="336">
        <f t="shared" si="17"/>
        <v>4967.1580078124998</v>
      </c>
      <c r="J57" s="336">
        <v>3000</v>
      </c>
      <c r="K57" s="337">
        <v>2000</v>
      </c>
      <c r="L57" s="336">
        <f t="shared" si="17"/>
        <v>2050</v>
      </c>
      <c r="M57" s="336">
        <f t="shared" si="17"/>
        <v>2101.25</v>
      </c>
      <c r="N57" s="336">
        <f t="shared" si="17"/>
        <v>2153.78125</v>
      </c>
      <c r="O57" s="336">
        <f t="shared" si="17"/>
        <v>2207.6257812499998</v>
      </c>
      <c r="P57" s="336">
        <f t="shared" si="17"/>
        <v>2262.8164257812496</v>
      </c>
      <c r="Q57" s="338">
        <f t="shared" si="17"/>
        <v>2319.3868364257805</v>
      </c>
      <c r="R57" s="330">
        <f t="shared" si="1"/>
        <v>52</v>
      </c>
    </row>
    <row r="58" spans="1:18" x14ac:dyDescent="0.25">
      <c r="A58" s="330">
        <f t="shared" si="0"/>
        <v>53</v>
      </c>
      <c r="B58" s="349" t="s">
        <v>340</v>
      </c>
      <c r="C58" s="365">
        <v>2.5000000000000001E-2</v>
      </c>
      <c r="D58" s="336">
        <v>9643.2000000000007</v>
      </c>
      <c r="E58" s="350">
        <v>9650</v>
      </c>
      <c r="F58" s="336">
        <f t="shared" si="17"/>
        <v>9891.25</v>
      </c>
      <c r="G58" s="336">
        <f t="shared" si="17"/>
        <v>10138.53125</v>
      </c>
      <c r="H58" s="336">
        <f t="shared" si="17"/>
        <v>10391.994531249999</v>
      </c>
      <c r="I58" s="336">
        <f t="shared" si="17"/>
        <v>10651.794394531247</v>
      </c>
      <c r="J58" s="336">
        <v>12000</v>
      </c>
      <c r="K58" s="337">
        <v>10000</v>
      </c>
      <c r="L58" s="336">
        <f t="shared" si="17"/>
        <v>10250</v>
      </c>
      <c r="M58" s="336">
        <f t="shared" si="17"/>
        <v>10506.249999999998</v>
      </c>
      <c r="N58" s="336">
        <f t="shared" si="17"/>
        <v>10768.906249999996</v>
      </c>
      <c r="O58" s="336">
        <f t="shared" si="17"/>
        <v>11038.128906249995</v>
      </c>
      <c r="P58" s="336">
        <f t="shared" si="17"/>
        <v>11314.082128906244</v>
      </c>
      <c r="Q58" s="338">
        <f t="shared" si="17"/>
        <v>11596.9341821289</v>
      </c>
      <c r="R58" s="330">
        <f t="shared" si="1"/>
        <v>53</v>
      </c>
    </row>
    <row r="59" spans="1:18" x14ac:dyDescent="0.25">
      <c r="A59" s="330">
        <f t="shared" si="0"/>
        <v>54</v>
      </c>
      <c r="B59" s="349" t="s">
        <v>19</v>
      </c>
      <c r="C59" s="365">
        <v>2.5000000000000001E-2</v>
      </c>
      <c r="D59" s="336">
        <v>5612.0519999999997</v>
      </c>
      <c r="E59" s="350">
        <v>5600</v>
      </c>
      <c r="F59" s="336">
        <f t="shared" si="17"/>
        <v>5739.9999999999991</v>
      </c>
      <c r="G59" s="336">
        <f t="shared" si="17"/>
        <v>5883.4999999999982</v>
      </c>
      <c r="H59" s="336">
        <f t="shared" si="17"/>
        <v>6030.5874999999978</v>
      </c>
      <c r="I59" s="336">
        <f t="shared" si="17"/>
        <v>6181.3521874999969</v>
      </c>
      <c r="J59" s="336">
        <v>9593</v>
      </c>
      <c r="K59" s="337">
        <v>7000</v>
      </c>
      <c r="L59" s="336">
        <f t="shared" si="17"/>
        <v>7174.9999999999991</v>
      </c>
      <c r="M59" s="336">
        <f t="shared" si="17"/>
        <v>7354.3749999999982</v>
      </c>
      <c r="N59" s="336">
        <f t="shared" si="17"/>
        <v>7538.2343749999973</v>
      </c>
      <c r="O59" s="336">
        <f t="shared" si="17"/>
        <v>7726.6902343749962</v>
      </c>
      <c r="P59" s="336">
        <f t="shared" si="17"/>
        <v>7919.8574902343707</v>
      </c>
      <c r="Q59" s="338">
        <f t="shared" si="17"/>
        <v>8117.8539274902296</v>
      </c>
      <c r="R59" s="330">
        <f t="shared" si="1"/>
        <v>54</v>
      </c>
    </row>
    <row r="60" spans="1:18" x14ac:dyDescent="0.25">
      <c r="A60" s="330">
        <f t="shared" si="0"/>
        <v>55</v>
      </c>
      <c r="B60" s="349" t="s">
        <v>20</v>
      </c>
      <c r="C60" s="365">
        <v>2.5000000000000001E-2</v>
      </c>
      <c r="D60" s="336">
        <v>600</v>
      </c>
      <c r="E60" s="350">
        <v>1200</v>
      </c>
      <c r="F60" s="336">
        <f t="shared" si="17"/>
        <v>1230</v>
      </c>
      <c r="G60" s="336">
        <f t="shared" si="17"/>
        <v>1260.75</v>
      </c>
      <c r="H60" s="336">
        <f t="shared" si="17"/>
        <v>1292.26875</v>
      </c>
      <c r="I60" s="336">
        <f t="shared" si="17"/>
        <v>1324.5754687499998</v>
      </c>
      <c r="J60" s="336">
        <v>1500</v>
      </c>
      <c r="K60" s="337">
        <v>1500</v>
      </c>
      <c r="L60" s="336">
        <f t="shared" si="17"/>
        <v>1537.4999999999998</v>
      </c>
      <c r="M60" s="336">
        <f t="shared" si="17"/>
        <v>1575.9374999999995</v>
      </c>
      <c r="N60" s="336">
        <f t="shared" si="17"/>
        <v>1615.3359374999993</v>
      </c>
      <c r="O60" s="336">
        <f t="shared" si="17"/>
        <v>1655.7193359374992</v>
      </c>
      <c r="P60" s="336">
        <f t="shared" si="17"/>
        <v>1697.1123193359365</v>
      </c>
      <c r="Q60" s="338">
        <f t="shared" si="17"/>
        <v>1739.5401273193347</v>
      </c>
      <c r="R60" s="330">
        <f t="shared" si="1"/>
        <v>55</v>
      </c>
    </row>
    <row r="61" spans="1:18" x14ac:dyDescent="0.25">
      <c r="A61" s="330">
        <f t="shared" si="0"/>
        <v>56</v>
      </c>
      <c r="B61" s="349" t="s">
        <v>21</v>
      </c>
      <c r="C61" s="365">
        <v>2.5000000000000001E-2</v>
      </c>
      <c r="D61" s="336">
        <v>3442.3319999999999</v>
      </c>
      <c r="E61" s="350">
        <v>3500</v>
      </c>
      <c r="F61" s="336">
        <f t="shared" si="17"/>
        <v>3587.4999999999995</v>
      </c>
      <c r="G61" s="336">
        <f t="shared" si="17"/>
        <v>3677.1874999999991</v>
      </c>
      <c r="H61" s="336">
        <f>G61*(1+$C61)</f>
        <v>3769.1171874999986</v>
      </c>
      <c r="I61" s="336">
        <f t="shared" si="17"/>
        <v>3863.3451171874981</v>
      </c>
      <c r="J61" s="336">
        <v>1963</v>
      </c>
      <c r="K61" s="337">
        <v>2600</v>
      </c>
      <c r="L61" s="336">
        <f t="shared" si="17"/>
        <v>2664.9999999999995</v>
      </c>
      <c r="M61" s="336">
        <f t="shared" si="17"/>
        <v>2731.6249999999991</v>
      </c>
      <c r="N61" s="336">
        <f t="shared" si="17"/>
        <v>2799.9156249999987</v>
      </c>
      <c r="O61" s="336">
        <f t="shared" si="17"/>
        <v>2869.9135156249986</v>
      </c>
      <c r="P61" s="336">
        <f t="shared" si="17"/>
        <v>2941.6613535156234</v>
      </c>
      <c r="Q61" s="338">
        <f t="shared" si="17"/>
        <v>3015.2028873535137</v>
      </c>
      <c r="R61" s="330">
        <f t="shared" si="1"/>
        <v>56</v>
      </c>
    </row>
    <row r="62" spans="1:18" x14ac:dyDescent="0.25">
      <c r="A62" s="330">
        <f t="shared" si="0"/>
        <v>57</v>
      </c>
      <c r="B62" s="359" t="s">
        <v>22</v>
      </c>
      <c r="C62" s="365">
        <v>2.5000000000000001E-2</v>
      </c>
      <c r="D62" s="336">
        <v>6920.3760000000002</v>
      </c>
      <c r="E62" s="350">
        <v>6950</v>
      </c>
      <c r="F62" s="336">
        <f t="shared" si="17"/>
        <v>7123.7499999999991</v>
      </c>
      <c r="G62" s="336">
        <f t="shared" si="17"/>
        <v>7301.8437499999982</v>
      </c>
      <c r="H62" s="336">
        <f t="shared" si="17"/>
        <v>7484.3898437499975</v>
      </c>
      <c r="I62" s="336">
        <f t="shared" si="17"/>
        <v>7671.4995898437464</v>
      </c>
      <c r="J62" s="336">
        <v>3981</v>
      </c>
      <c r="K62" s="337">
        <v>6050</v>
      </c>
      <c r="L62" s="336">
        <f t="shared" si="17"/>
        <v>6201.2499999999991</v>
      </c>
      <c r="M62" s="336">
        <f t="shared" si="17"/>
        <v>6356.2812499999982</v>
      </c>
      <c r="N62" s="336">
        <f t="shared" si="17"/>
        <v>6515.188281249998</v>
      </c>
      <c r="O62" s="336">
        <f t="shared" si="17"/>
        <v>6678.0679882812474</v>
      </c>
      <c r="P62" s="336">
        <f t="shared" si="17"/>
        <v>6845.0196879882778</v>
      </c>
      <c r="Q62" s="338">
        <f t="shared" si="17"/>
        <v>7016.1451801879839</v>
      </c>
      <c r="R62" s="330">
        <f t="shared" si="1"/>
        <v>57</v>
      </c>
    </row>
    <row r="63" spans="1:18" x14ac:dyDescent="0.25">
      <c r="A63" s="330">
        <f t="shared" si="0"/>
        <v>58</v>
      </c>
      <c r="B63" s="359" t="s">
        <v>341</v>
      </c>
      <c r="C63" s="365">
        <v>2.5000000000000001E-2</v>
      </c>
      <c r="D63" s="336">
        <v>758.6880000000001</v>
      </c>
      <c r="E63" s="350"/>
      <c r="F63" s="336">
        <f t="shared" si="17"/>
        <v>0</v>
      </c>
      <c r="G63" s="336">
        <f t="shared" si="17"/>
        <v>0</v>
      </c>
      <c r="H63" s="336">
        <f t="shared" si="17"/>
        <v>0</v>
      </c>
      <c r="I63" s="336">
        <f t="shared" si="17"/>
        <v>0</v>
      </c>
      <c r="J63" s="336">
        <v>0</v>
      </c>
      <c r="K63" s="337">
        <v>600</v>
      </c>
      <c r="L63" s="336">
        <f t="shared" si="17"/>
        <v>615</v>
      </c>
      <c r="M63" s="336">
        <f t="shared" si="17"/>
        <v>630.375</v>
      </c>
      <c r="N63" s="336">
        <f t="shared" si="17"/>
        <v>646.13437499999998</v>
      </c>
      <c r="O63" s="336">
        <f t="shared" si="17"/>
        <v>662.2877343749999</v>
      </c>
      <c r="P63" s="336">
        <f t="shared" si="17"/>
        <v>678.84492773437489</v>
      </c>
      <c r="Q63" s="338">
        <f t="shared" si="17"/>
        <v>695.81605092773418</v>
      </c>
      <c r="R63" s="330">
        <f t="shared" si="1"/>
        <v>58</v>
      </c>
    </row>
    <row r="64" spans="1:18" x14ac:dyDescent="0.25">
      <c r="A64" s="330">
        <f t="shared" si="0"/>
        <v>59</v>
      </c>
      <c r="B64" s="349" t="s">
        <v>342</v>
      </c>
      <c r="C64" s="365">
        <v>2.5000000000000001E-2</v>
      </c>
      <c r="D64" s="336"/>
      <c r="E64" s="350">
        <v>16623</v>
      </c>
      <c r="F64" s="336">
        <f t="shared" si="17"/>
        <v>17038.574999999997</v>
      </c>
      <c r="G64" s="336">
        <f t="shared" si="17"/>
        <v>17464.539374999997</v>
      </c>
      <c r="H64" s="336">
        <f t="shared" si="17"/>
        <v>17901.152859374994</v>
      </c>
      <c r="I64" s="336">
        <f t="shared" si="17"/>
        <v>18348.681680859368</v>
      </c>
      <c r="J64" s="336">
        <v>17000</v>
      </c>
      <c r="K64" s="337">
        <v>18900</v>
      </c>
      <c r="L64" s="336">
        <f t="shared" si="17"/>
        <v>19372.5</v>
      </c>
      <c r="M64" s="336">
        <f t="shared" si="17"/>
        <v>19856.8125</v>
      </c>
      <c r="N64" s="336">
        <f t="shared" si="17"/>
        <v>20353.232812499999</v>
      </c>
      <c r="O64" s="336">
        <f t="shared" si="17"/>
        <v>20862.063632812497</v>
      </c>
      <c r="P64" s="336">
        <f t="shared" si="17"/>
        <v>21383.615223632805</v>
      </c>
      <c r="Q64" s="338">
        <f t="shared" si="17"/>
        <v>21918.205604223622</v>
      </c>
      <c r="R64" s="330">
        <f t="shared" si="1"/>
        <v>59</v>
      </c>
    </row>
    <row r="65" spans="1:18" x14ac:dyDescent="0.25">
      <c r="A65" s="330">
        <f t="shared" si="0"/>
        <v>60</v>
      </c>
      <c r="B65" s="349" t="s">
        <v>343</v>
      </c>
      <c r="C65" s="365">
        <v>2.5000000000000001E-2</v>
      </c>
      <c r="D65" s="336"/>
      <c r="E65" s="350"/>
      <c r="F65" s="336">
        <f t="shared" ref="F65:Q67" si="18">E65*(1+$C65)</f>
        <v>0</v>
      </c>
      <c r="G65" s="336">
        <f t="shared" si="18"/>
        <v>0</v>
      </c>
      <c r="H65" s="336">
        <f t="shared" si="18"/>
        <v>0</v>
      </c>
      <c r="I65" s="336">
        <f t="shared" si="18"/>
        <v>0</v>
      </c>
      <c r="J65" s="336">
        <v>0</v>
      </c>
      <c r="K65" s="337">
        <f t="shared" si="18"/>
        <v>0</v>
      </c>
      <c r="L65" s="336">
        <f t="shared" si="18"/>
        <v>0</v>
      </c>
      <c r="M65" s="336">
        <f t="shared" si="18"/>
        <v>0</v>
      </c>
      <c r="N65" s="336">
        <f t="shared" si="18"/>
        <v>0</v>
      </c>
      <c r="O65" s="336">
        <f t="shared" si="18"/>
        <v>0</v>
      </c>
      <c r="P65" s="336">
        <f t="shared" si="18"/>
        <v>0</v>
      </c>
      <c r="Q65" s="338">
        <f t="shared" si="18"/>
        <v>0</v>
      </c>
      <c r="R65" s="330">
        <f t="shared" si="1"/>
        <v>60</v>
      </c>
    </row>
    <row r="66" spans="1:18" x14ac:dyDescent="0.25">
      <c r="A66" s="330">
        <f t="shared" si="0"/>
        <v>61</v>
      </c>
      <c r="B66" s="349" t="s">
        <v>23</v>
      </c>
      <c r="C66" s="365">
        <v>2.5000000000000001E-2</v>
      </c>
      <c r="D66" s="336">
        <v>83.135999999999996</v>
      </c>
      <c r="E66" s="350">
        <v>500</v>
      </c>
      <c r="F66" s="336">
        <f t="shared" si="18"/>
        <v>512.5</v>
      </c>
      <c r="G66" s="336">
        <f t="shared" si="18"/>
        <v>525.3125</v>
      </c>
      <c r="H66" s="336">
        <f t="shared" si="18"/>
        <v>538.4453125</v>
      </c>
      <c r="I66" s="336">
        <f t="shared" si="18"/>
        <v>551.90644531249995</v>
      </c>
      <c r="J66" s="336">
        <v>0</v>
      </c>
      <c r="K66" s="337">
        <v>0</v>
      </c>
      <c r="L66" s="336">
        <f t="shared" si="18"/>
        <v>0</v>
      </c>
      <c r="M66" s="336">
        <f t="shared" si="18"/>
        <v>0</v>
      </c>
      <c r="N66" s="336">
        <f t="shared" si="18"/>
        <v>0</v>
      </c>
      <c r="O66" s="336">
        <f t="shared" si="18"/>
        <v>0</v>
      </c>
      <c r="P66" s="336">
        <f t="shared" si="18"/>
        <v>0</v>
      </c>
      <c r="Q66" s="338">
        <f t="shared" si="18"/>
        <v>0</v>
      </c>
      <c r="R66" s="330">
        <f t="shared" si="1"/>
        <v>61</v>
      </c>
    </row>
    <row r="67" spans="1:18" x14ac:dyDescent="0.25">
      <c r="A67" s="330">
        <f t="shared" si="0"/>
        <v>62</v>
      </c>
      <c r="B67" s="349" t="s">
        <v>344</v>
      </c>
      <c r="C67" s="365">
        <v>2.5000000000000001E-2</v>
      </c>
      <c r="D67" s="336"/>
      <c r="E67" s="350">
        <v>1950</v>
      </c>
      <c r="F67" s="336">
        <f t="shared" si="18"/>
        <v>1998.7499999999998</v>
      </c>
      <c r="G67" s="336">
        <f t="shared" si="18"/>
        <v>2048.7187499999995</v>
      </c>
      <c r="H67" s="336">
        <f t="shared" si="18"/>
        <v>2099.9367187499993</v>
      </c>
      <c r="I67" s="336">
        <f t="shared" si="18"/>
        <v>2152.4351367187492</v>
      </c>
      <c r="J67" s="336">
        <v>1200</v>
      </c>
      <c r="K67" s="337">
        <v>1200</v>
      </c>
      <c r="L67" s="336">
        <f t="shared" si="18"/>
        <v>1230</v>
      </c>
      <c r="M67" s="336">
        <f t="shared" si="18"/>
        <v>1260.75</v>
      </c>
      <c r="N67" s="336">
        <f t="shared" si="18"/>
        <v>1292.26875</v>
      </c>
      <c r="O67" s="336">
        <f t="shared" si="18"/>
        <v>1324.5754687499998</v>
      </c>
      <c r="P67" s="336">
        <f t="shared" si="18"/>
        <v>1357.6898554687498</v>
      </c>
      <c r="Q67" s="338">
        <f t="shared" si="18"/>
        <v>1391.6321018554684</v>
      </c>
      <c r="R67" s="330">
        <f t="shared" si="1"/>
        <v>62</v>
      </c>
    </row>
    <row r="68" spans="1:18" x14ac:dyDescent="0.25">
      <c r="A68" s="330">
        <f t="shared" si="0"/>
        <v>63</v>
      </c>
      <c r="B68" s="367" t="s">
        <v>345</v>
      </c>
      <c r="C68" s="340"/>
      <c r="D68" s="342">
        <f t="shared" ref="D68:J68" si="19">SUM(D45:D67)</f>
        <v>99958.56</v>
      </c>
      <c r="E68" s="342">
        <f t="shared" si="19"/>
        <v>107781</v>
      </c>
      <c r="F68" s="342">
        <f t="shared" si="19"/>
        <v>110475.52499999999</v>
      </c>
      <c r="G68" s="342">
        <f t="shared" si="19"/>
        <v>113237.41312499999</v>
      </c>
      <c r="H68" s="342">
        <f t="shared" si="19"/>
        <v>116068.348453125</v>
      </c>
      <c r="I68" s="342">
        <f t="shared" si="19"/>
        <v>118970.05716445309</v>
      </c>
      <c r="J68" s="342">
        <f t="shared" si="19"/>
        <v>115315</v>
      </c>
      <c r="K68" s="343">
        <f>SUM(K45:K67)</f>
        <v>107450</v>
      </c>
      <c r="L68" s="342">
        <f t="shared" ref="L68:Q68" si="20">SUM(L45:L67)</f>
        <v>110136.25</v>
      </c>
      <c r="M68" s="342">
        <f t="shared" si="20"/>
        <v>112889.65624999999</v>
      </c>
      <c r="N68" s="342">
        <f t="shared" si="20"/>
        <v>115711.89765624997</v>
      </c>
      <c r="O68" s="342">
        <f t="shared" si="20"/>
        <v>118604.69509765624</v>
      </c>
      <c r="P68" s="342">
        <f t="shared" si="20"/>
        <v>121569.8124750976</v>
      </c>
      <c r="Q68" s="344">
        <f t="shared" si="20"/>
        <v>124609.05778697504</v>
      </c>
      <c r="R68" s="330">
        <f t="shared" si="1"/>
        <v>63</v>
      </c>
    </row>
    <row r="69" spans="1:18" ht="15.75" thickBot="1" x14ac:dyDescent="0.3">
      <c r="A69" s="330">
        <f t="shared" si="0"/>
        <v>64</v>
      </c>
      <c r="B69" s="359"/>
      <c r="C69" s="336"/>
      <c r="D69" s="336"/>
      <c r="E69" s="368"/>
      <c r="F69" s="336"/>
      <c r="G69" s="336"/>
      <c r="H69" s="336"/>
      <c r="I69" s="336"/>
      <c r="J69" s="336"/>
      <c r="K69" s="337"/>
      <c r="L69" s="336"/>
      <c r="M69" s="336"/>
      <c r="N69" s="336"/>
      <c r="O69" s="336"/>
      <c r="P69" s="336"/>
      <c r="Q69" s="338"/>
      <c r="R69" s="330">
        <f t="shared" si="1"/>
        <v>64</v>
      </c>
    </row>
    <row r="70" spans="1:18" x14ac:dyDescent="0.25">
      <c r="A70" s="330">
        <f t="shared" ref="A70:A133" si="21">A69+1</f>
        <v>65</v>
      </c>
      <c r="B70" s="396" t="s">
        <v>346</v>
      </c>
      <c r="C70" s="397"/>
      <c r="D70" s="397"/>
      <c r="E70" s="398"/>
      <c r="F70" s="397"/>
      <c r="G70" s="397"/>
      <c r="H70" s="397"/>
      <c r="I70" s="397"/>
      <c r="J70" s="397"/>
      <c r="K70" s="399"/>
      <c r="L70" s="397"/>
      <c r="M70" s="397"/>
      <c r="N70" s="397"/>
      <c r="O70" s="397"/>
      <c r="P70" s="397"/>
      <c r="Q70" s="400"/>
      <c r="R70" s="330">
        <f t="shared" si="1"/>
        <v>65</v>
      </c>
    </row>
    <row r="71" spans="1:18" x14ac:dyDescent="0.25">
      <c r="A71" s="330">
        <f>A69+1</f>
        <v>65</v>
      </c>
      <c r="B71" s="349" t="s">
        <v>68</v>
      </c>
      <c r="C71" s="365">
        <v>2.5000000000000001E-2</v>
      </c>
      <c r="D71" s="350">
        <v>0</v>
      </c>
      <c r="E71" s="350">
        <v>0</v>
      </c>
      <c r="F71" s="336">
        <v>0</v>
      </c>
      <c r="G71" s="350">
        <v>0</v>
      </c>
      <c r="H71" s="350">
        <v>0</v>
      </c>
      <c r="I71" s="350">
        <v>0</v>
      </c>
      <c r="J71" s="350">
        <v>5000</v>
      </c>
      <c r="K71" s="337">
        <v>2500</v>
      </c>
      <c r="L71" s="336">
        <f t="shared" ref="L71:Q71" si="22">K71*(1+$C71)</f>
        <v>2562.5</v>
      </c>
      <c r="M71" s="336">
        <f t="shared" si="22"/>
        <v>2626.5624999999995</v>
      </c>
      <c r="N71" s="336">
        <f t="shared" si="22"/>
        <v>2692.2265624999991</v>
      </c>
      <c r="O71" s="336">
        <f t="shared" si="22"/>
        <v>2759.5322265624986</v>
      </c>
      <c r="P71" s="336">
        <f t="shared" si="22"/>
        <v>2828.520532226561</v>
      </c>
      <c r="Q71" s="338">
        <f t="shared" si="22"/>
        <v>2899.233545532225</v>
      </c>
      <c r="R71" s="330">
        <f>A71</f>
        <v>65</v>
      </c>
    </row>
    <row r="72" spans="1:18" x14ac:dyDescent="0.25">
      <c r="A72" s="330">
        <f>A70+1</f>
        <v>66</v>
      </c>
      <c r="B72" s="349" t="s">
        <v>26</v>
      </c>
      <c r="C72" s="365">
        <v>2.5000000000000001E-2</v>
      </c>
      <c r="D72" s="350">
        <v>5218.1399999999994</v>
      </c>
      <c r="E72" s="350">
        <v>5250</v>
      </c>
      <c r="F72" s="336">
        <f>E72*(1+$C72)</f>
        <v>5381.2499999999991</v>
      </c>
      <c r="G72" s="350">
        <f t="shared" ref="G72:Q87" si="23">F72*(1+$C72)</f>
        <v>5515.7812499999982</v>
      </c>
      <c r="H72" s="350">
        <f t="shared" si="23"/>
        <v>5653.6757812499973</v>
      </c>
      <c r="I72" s="350">
        <f t="shared" si="23"/>
        <v>5795.0176757812469</v>
      </c>
      <c r="J72" s="350">
        <v>5000</v>
      </c>
      <c r="K72" s="337">
        <v>5000</v>
      </c>
      <c r="L72" s="336">
        <f t="shared" si="23"/>
        <v>5125</v>
      </c>
      <c r="M72" s="336">
        <f t="shared" si="23"/>
        <v>5253.1249999999991</v>
      </c>
      <c r="N72" s="336">
        <f t="shared" si="23"/>
        <v>5384.4531249999982</v>
      </c>
      <c r="O72" s="336">
        <f t="shared" si="23"/>
        <v>5519.0644531249973</v>
      </c>
      <c r="P72" s="336">
        <f t="shared" si="23"/>
        <v>5657.0410644531221</v>
      </c>
      <c r="Q72" s="338">
        <f t="shared" si="23"/>
        <v>5798.46709106445</v>
      </c>
      <c r="R72" s="330">
        <f t="shared" ref="R72:R135" si="24">A72</f>
        <v>66</v>
      </c>
    </row>
    <row r="73" spans="1:18" x14ac:dyDescent="0.25">
      <c r="A73" s="330">
        <f t="shared" si="21"/>
        <v>67</v>
      </c>
      <c r="B73" s="364" t="s">
        <v>27</v>
      </c>
      <c r="C73" s="365">
        <v>2.5000000000000001E-2</v>
      </c>
      <c r="D73" s="350"/>
      <c r="E73" s="350">
        <v>1000</v>
      </c>
      <c r="F73" s="336">
        <f>E73*(1+$C73)</f>
        <v>1025</v>
      </c>
      <c r="G73" s="350">
        <f t="shared" si="23"/>
        <v>1050.625</v>
      </c>
      <c r="H73" s="350">
        <f t="shared" si="23"/>
        <v>1076.890625</v>
      </c>
      <c r="I73" s="350">
        <f t="shared" si="23"/>
        <v>1103.8128906249999</v>
      </c>
      <c r="J73" s="350">
        <v>18000</v>
      </c>
      <c r="K73" s="337">
        <v>18000</v>
      </c>
      <c r="L73" s="336">
        <f t="shared" si="23"/>
        <v>18450</v>
      </c>
      <c r="M73" s="336">
        <f t="shared" si="23"/>
        <v>18911.25</v>
      </c>
      <c r="N73" s="336">
        <f t="shared" si="23"/>
        <v>19384.03125</v>
      </c>
      <c r="O73" s="336">
        <f t="shared" si="23"/>
        <v>19868.632031249999</v>
      </c>
      <c r="P73" s="336">
        <f t="shared" si="23"/>
        <v>20365.347832031246</v>
      </c>
      <c r="Q73" s="338">
        <f t="shared" si="23"/>
        <v>20874.481527832024</v>
      </c>
      <c r="R73" s="330">
        <f t="shared" si="24"/>
        <v>67</v>
      </c>
    </row>
    <row r="74" spans="1:18" x14ac:dyDescent="0.25">
      <c r="A74" s="330">
        <f t="shared" si="21"/>
        <v>68</v>
      </c>
      <c r="B74" s="349" t="s">
        <v>28</v>
      </c>
      <c r="C74" s="365">
        <v>2.5000000000000001E-2</v>
      </c>
      <c r="D74" s="350">
        <v>10353.252</v>
      </c>
      <c r="E74" s="350">
        <v>10000</v>
      </c>
      <c r="F74" s="336">
        <f>E74*(1+$C74)</f>
        <v>10250</v>
      </c>
      <c r="G74" s="350">
        <f t="shared" si="23"/>
        <v>10506.249999999998</v>
      </c>
      <c r="H74" s="350">
        <f t="shared" si="23"/>
        <v>10768.906249999996</v>
      </c>
      <c r="I74" s="350">
        <f t="shared" si="23"/>
        <v>11038.128906249995</v>
      </c>
      <c r="J74" s="350">
        <v>1000</v>
      </c>
      <c r="K74" s="337">
        <v>1500</v>
      </c>
      <c r="L74" s="336">
        <f t="shared" si="23"/>
        <v>1537.4999999999998</v>
      </c>
      <c r="M74" s="336">
        <f t="shared" si="23"/>
        <v>1575.9374999999995</v>
      </c>
      <c r="N74" s="336">
        <f t="shared" si="23"/>
        <v>1615.3359374999993</v>
      </c>
      <c r="O74" s="336">
        <f t="shared" si="23"/>
        <v>1655.7193359374992</v>
      </c>
      <c r="P74" s="336">
        <f t="shared" si="23"/>
        <v>1697.1123193359365</v>
      </c>
      <c r="Q74" s="338">
        <f t="shared" si="23"/>
        <v>1739.5401273193347</v>
      </c>
      <c r="R74" s="330">
        <f t="shared" si="24"/>
        <v>68</v>
      </c>
    </row>
    <row r="75" spans="1:18" x14ac:dyDescent="0.25">
      <c r="A75" s="330">
        <f t="shared" si="21"/>
        <v>69</v>
      </c>
      <c r="B75" s="349" t="s">
        <v>29</v>
      </c>
      <c r="C75" s="365">
        <v>2.5000000000000001E-2</v>
      </c>
      <c r="D75" s="350">
        <v>1215.5999999999999</v>
      </c>
      <c r="E75" s="350">
        <v>1064</v>
      </c>
      <c r="F75" s="336">
        <f>E75*(1+$C75)</f>
        <v>1090.5999999999999</v>
      </c>
      <c r="G75" s="350">
        <f t="shared" si="23"/>
        <v>1117.8649999999998</v>
      </c>
      <c r="H75" s="350">
        <f t="shared" si="23"/>
        <v>1145.8116249999996</v>
      </c>
      <c r="I75" s="350">
        <f t="shared" si="23"/>
        <v>1174.4569156249995</v>
      </c>
      <c r="J75" s="350">
        <v>2300</v>
      </c>
      <c r="K75" s="337">
        <v>3500</v>
      </c>
      <c r="L75" s="336">
        <f t="shared" si="23"/>
        <v>3587.4999999999995</v>
      </c>
      <c r="M75" s="336">
        <f t="shared" si="23"/>
        <v>3677.1874999999991</v>
      </c>
      <c r="N75" s="336">
        <f t="shared" si="23"/>
        <v>3769.1171874999986</v>
      </c>
      <c r="O75" s="336">
        <f t="shared" si="23"/>
        <v>3863.3451171874981</v>
      </c>
      <c r="P75" s="336">
        <f t="shared" si="23"/>
        <v>3959.9287451171854</v>
      </c>
      <c r="Q75" s="338">
        <f t="shared" si="23"/>
        <v>4058.9269637451148</v>
      </c>
      <c r="R75" s="330">
        <f t="shared" si="24"/>
        <v>69</v>
      </c>
    </row>
    <row r="76" spans="1:18" x14ac:dyDescent="0.25">
      <c r="A76" s="330">
        <f t="shared" si="21"/>
        <v>70</v>
      </c>
      <c r="B76" s="349" t="s">
        <v>30</v>
      </c>
      <c r="C76" s="365">
        <v>2.5000000000000001E-2</v>
      </c>
      <c r="D76" s="350">
        <v>41073.347999999998</v>
      </c>
      <c r="E76" s="350">
        <v>40000</v>
      </c>
      <c r="F76" s="336">
        <f>E76*(1+$C76)</f>
        <v>41000</v>
      </c>
      <c r="G76" s="350">
        <f t="shared" si="23"/>
        <v>42024.999999999993</v>
      </c>
      <c r="H76" s="350">
        <f t="shared" si="23"/>
        <v>43075.624999999985</v>
      </c>
      <c r="I76" s="350">
        <f t="shared" si="23"/>
        <v>44152.515624999978</v>
      </c>
      <c r="J76" s="350">
        <v>35000</v>
      </c>
      <c r="K76" s="337">
        <v>40500</v>
      </c>
      <c r="L76" s="336">
        <f t="shared" si="23"/>
        <v>41512.5</v>
      </c>
      <c r="M76" s="336">
        <f t="shared" si="23"/>
        <v>42550.312499999993</v>
      </c>
      <c r="N76" s="336">
        <f t="shared" si="23"/>
        <v>43614.070312499985</v>
      </c>
      <c r="O76" s="336">
        <f t="shared" si="23"/>
        <v>44704.422070312481</v>
      </c>
      <c r="P76" s="336">
        <f t="shared" si="23"/>
        <v>45822.032622070292</v>
      </c>
      <c r="Q76" s="338">
        <f t="shared" si="23"/>
        <v>46967.583437622045</v>
      </c>
      <c r="R76" s="330">
        <f t="shared" si="24"/>
        <v>70</v>
      </c>
    </row>
    <row r="77" spans="1:18" x14ac:dyDescent="0.25">
      <c r="A77" s="330">
        <f t="shared" si="21"/>
        <v>71</v>
      </c>
      <c r="B77" s="349" t="s">
        <v>70</v>
      </c>
      <c r="C77" s="365">
        <v>2.5000000000000001E-2</v>
      </c>
      <c r="D77" s="350"/>
      <c r="E77" s="350"/>
      <c r="F77" s="336"/>
      <c r="G77" s="350"/>
      <c r="H77" s="350"/>
      <c r="I77" s="350"/>
      <c r="J77" s="350">
        <v>0</v>
      </c>
      <c r="K77" s="337">
        <v>1800</v>
      </c>
      <c r="L77" s="336">
        <f t="shared" si="23"/>
        <v>1844.9999999999998</v>
      </c>
      <c r="M77" s="336">
        <f t="shared" si="23"/>
        <v>1891.1249999999995</v>
      </c>
      <c r="N77" s="336">
        <f t="shared" si="23"/>
        <v>1938.4031249999994</v>
      </c>
      <c r="O77" s="336">
        <f t="shared" si="23"/>
        <v>1986.8632031249992</v>
      </c>
      <c r="P77" s="336">
        <f t="shared" si="23"/>
        <v>2036.5347832031241</v>
      </c>
      <c r="Q77" s="338">
        <f t="shared" si="23"/>
        <v>2087.4481527832022</v>
      </c>
      <c r="R77" s="330"/>
    </row>
    <row r="78" spans="1:18" x14ac:dyDescent="0.25">
      <c r="A78" s="330">
        <f t="shared" si="21"/>
        <v>72</v>
      </c>
      <c r="B78" s="349" t="s">
        <v>50</v>
      </c>
      <c r="C78" s="365">
        <v>2.5000000000000001E-2</v>
      </c>
      <c r="D78" s="350">
        <v>192</v>
      </c>
      <c r="E78" s="350"/>
      <c r="F78" s="336">
        <f>E78*(1+$C78)</f>
        <v>0</v>
      </c>
      <c r="G78" s="350">
        <f>F78*(1+$C78)</f>
        <v>0</v>
      </c>
      <c r="H78" s="350">
        <f>G78*(1+$C78)</f>
        <v>0</v>
      </c>
      <c r="I78" s="350">
        <f>H78*(1+$C78)</f>
        <v>0</v>
      </c>
      <c r="J78" s="350">
        <f>I78*(1+$C78)</f>
        <v>0</v>
      </c>
      <c r="K78" s="337">
        <v>0</v>
      </c>
      <c r="L78" s="336">
        <f t="shared" si="23"/>
        <v>0</v>
      </c>
      <c r="M78" s="336">
        <f t="shared" si="23"/>
        <v>0</v>
      </c>
      <c r="N78" s="336">
        <f t="shared" si="23"/>
        <v>0</v>
      </c>
      <c r="O78" s="336">
        <f t="shared" si="23"/>
        <v>0</v>
      </c>
      <c r="P78" s="336">
        <f t="shared" si="23"/>
        <v>0</v>
      </c>
      <c r="Q78" s="338">
        <f t="shared" si="23"/>
        <v>0</v>
      </c>
      <c r="R78" s="330">
        <f t="shared" si="24"/>
        <v>72</v>
      </c>
    </row>
    <row r="79" spans="1:18" x14ac:dyDescent="0.25">
      <c r="A79" s="330">
        <f t="shared" si="21"/>
        <v>73</v>
      </c>
      <c r="B79" s="349" t="s">
        <v>31</v>
      </c>
      <c r="C79" s="365">
        <v>2.5000000000000001E-2</v>
      </c>
      <c r="D79" s="350">
        <v>438.75600000000003</v>
      </c>
      <c r="E79" s="350">
        <v>500</v>
      </c>
      <c r="F79" s="336">
        <f t="shared" ref="F79:I82" si="25">E79*(1+$C79)</f>
        <v>512.5</v>
      </c>
      <c r="G79" s="350">
        <f t="shared" si="25"/>
        <v>525.3125</v>
      </c>
      <c r="H79" s="350">
        <f t="shared" si="25"/>
        <v>538.4453125</v>
      </c>
      <c r="I79" s="350">
        <f t="shared" si="25"/>
        <v>551.90644531249995</v>
      </c>
      <c r="J79" s="350">
        <v>800</v>
      </c>
      <c r="K79" s="337">
        <v>4500</v>
      </c>
      <c r="L79" s="336">
        <f t="shared" si="23"/>
        <v>4612.5</v>
      </c>
      <c r="M79" s="336">
        <f t="shared" si="23"/>
        <v>4727.8125</v>
      </c>
      <c r="N79" s="336">
        <f t="shared" si="23"/>
        <v>4846.0078125</v>
      </c>
      <c r="O79" s="336">
        <f t="shared" si="23"/>
        <v>4967.1580078124998</v>
      </c>
      <c r="P79" s="336">
        <f t="shared" si="23"/>
        <v>5091.3369580078115</v>
      </c>
      <c r="Q79" s="338">
        <f t="shared" si="23"/>
        <v>5218.620381958006</v>
      </c>
      <c r="R79" s="330">
        <f t="shared" si="24"/>
        <v>73</v>
      </c>
    </row>
    <row r="80" spans="1:18" x14ac:dyDescent="0.25">
      <c r="A80" s="330">
        <f t="shared" si="21"/>
        <v>74</v>
      </c>
      <c r="B80" s="349" t="s">
        <v>32</v>
      </c>
      <c r="C80" s="365">
        <v>2.5000000000000001E-2</v>
      </c>
      <c r="D80" s="350">
        <v>14861.748</v>
      </c>
      <c r="E80" s="350">
        <v>17000</v>
      </c>
      <c r="F80" s="336">
        <f t="shared" si="25"/>
        <v>17425</v>
      </c>
      <c r="G80" s="350">
        <f t="shared" si="25"/>
        <v>17860.625</v>
      </c>
      <c r="H80" s="350">
        <f t="shared" si="25"/>
        <v>18307.140625</v>
      </c>
      <c r="I80" s="350">
        <f t="shared" si="25"/>
        <v>18764.819140624997</v>
      </c>
      <c r="J80" s="350">
        <v>9500</v>
      </c>
      <c r="K80" s="337">
        <v>12992</v>
      </c>
      <c r="L80" s="336">
        <f t="shared" si="23"/>
        <v>13316.8</v>
      </c>
      <c r="M80" s="336">
        <f t="shared" si="23"/>
        <v>13649.719999999998</v>
      </c>
      <c r="N80" s="336">
        <f t="shared" si="23"/>
        <v>13990.962999999996</v>
      </c>
      <c r="O80" s="336">
        <f t="shared" si="23"/>
        <v>14340.737074999995</v>
      </c>
      <c r="P80" s="336">
        <f t="shared" si="23"/>
        <v>14699.255501874994</v>
      </c>
      <c r="Q80" s="338">
        <f t="shared" si="23"/>
        <v>15066.736889421867</v>
      </c>
      <c r="R80" s="330">
        <f t="shared" si="24"/>
        <v>74</v>
      </c>
    </row>
    <row r="81" spans="1:18" x14ac:dyDescent="0.25">
      <c r="A81" s="330">
        <f t="shared" si="21"/>
        <v>75</v>
      </c>
      <c r="B81" s="369" t="s">
        <v>33</v>
      </c>
      <c r="C81" s="365">
        <v>2.5000000000000001E-2</v>
      </c>
      <c r="D81" s="350">
        <v>32948.94</v>
      </c>
      <c r="E81" s="350">
        <v>33500</v>
      </c>
      <c r="F81" s="336">
        <f t="shared" si="25"/>
        <v>34337.5</v>
      </c>
      <c r="G81" s="350">
        <f t="shared" si="25"/>
        <v>35195.9375</v>
      </c>
      <c r="H81" s="350">
        <f t="shared" si="25"/>
        <v>36075.8359375</v>
      </c>
      <c r="I81" s="350">
        <f t="shared" si="25"/>
        <v>36977.731835937499</v>
      </c>
      <c r="J81" s="350">
        <v>15000</v>
      </c>
      <c r="K81" s="337">
        <v>21000</v>
      </c>
      <c r="L81" s="336">
        <f t="shared" si="23"/>
        <v>21524.999999999996</v>
      </c>
      <c r="M81" s="336">
        <f t="shared" si="23"/>
        <v>22063.124999999993</v>
      </c>
      <c r="N81" s="336">
        <f t="shared" si="23"/>
        <v>22614.703124999989</v>
      </c>
      <c r="O81" s="336">
        <f t="shared" si="23"/>
        <v>23180.070703124988</v>
      </c>
      <c r="P81" s="336">
        <f t="shared" si="23"/>
        <v>23759.572470703111</v>
      </c>
      <c r="Q81" s="338">
        <f t="shared" si="23"/>
        <v>24353.561782470686</v>
      </c>
      <c r="R81" s="330">
        <f t="shared" si="24"/>
        <v>75</v>
      </c>
    </row>
    <row r="82" spans="1:18" x14ac:dyDescent="0.25">
      <c r="A82" s="330">
        <f t="shared" si="21"/>
        <v>76</v>
      </c>
      <c r="B82" s="364" t="s">
        <v>347</v>
      </c>
      <c r="C82" s="365">
        <v>2.5000000000000001E-2</v>
      </c>
      <c r="D82" s="350">
        <v>0</v>
      </c>
      <c r="E82" s="350"/>
      <c r="F82" s="336">
        <f t="shared" si="25"/>
        <v>0</v>
      </c>
      <c r="G82" s="350">
        <f t="shared" si="25"/>
        <v>0</v>
      </c>
      <c r="H82" s="350">
        <f t="shared" si="25"/>
        <v>0</v>
      </c>
      <c r="I82" s="350">
        <f t="shared" si="25"/>
        <v>0</v>
      </c>
      <c r="J82" s="350">
        <f>I82*(1+$C82)</f>
        <v>0</v>
      </c>
      <c r="K82" s="337">
        <f>J82*(1+$C82)</f>
        <v>0</v>
      </c>
      <c r="L82" s="336">
        <f t="shared" si="23"/>
        <v>0</v>
      </c>
      <c r="M82" s="336">
        <f t="shared" si="23"/>
        <v>0</v>
      </c>
      <c r="N82" s="336">
        <f t="shared" si="23"/>
        <v>0</v>
      </c>
      <c r="O82" s="336">
        <f t="shared" si="23"/>
        <v>0</v>
      </c>
      <c r="P82" s="336">
        <f t="shared" si="23"/>
        <v>0</v>
      </c>
      <c r="Q82" s="338">
        <f t="shared" si="23"/>
        <v>0</v>
      </c>
      <c r="R82" s="330">
        <f t="shared" si="24"/>
        <v>76</v>
      </c>
    </row>
    <row r="83" spans="1:18" x14ac:dyDescent="0.25">
      <c r="A83" s="330">
        <f t="shared" si="21"/>
        <v>77</v>
      </c>
      <c r="B83" s="364" t="s">
        <v>69</v>
      </c>
      <c r="C83" s="365">
        <v>2.5000000000000001E-2</v>
      </c>
      <c r="D83" s="350"/>
      <c r="E83" s="350"/>
      <c r="F83" s="336"/>
      <c r="G83" s="350"/>
      <c r="H83" s="350"/>
      <c r="I83" s="350"/>
      <c r="J83" s="350">
        <v>1000</v>
      </c>
      <c r="K83" s="337">
        <v>1000</v>
      </c>
      <c r="L83" s="336"/>
      <c r="M83" s="336"/>
      <c r="N83" s="336"/>
      <c r="O83" s="336"/>
      <c r="P83" s="336"/>
      <c r="Q83" s="338"/>
      <c r="R83" s="330"/>
    </row>
    <row r="84" spans="1:18" x14ac:dyDescent="0.25">
      <c r="A84" s="330">
        <f t="shared" si="21"/>
        <v>78</v>
      </c>
      <c r="B84" s="364" t="s">
        <v>34</v>
      </c>
      <c r="C84" s="365">
        <v>2.5000000000000001E-2</v>
      </c>
      <c r="D84" s="350">
        <v>0</v>
      </c>
      <c r="E84" s="350"/>
      <c r="F84" s="336">
        <f t="shared" ref="F84:I91" si="26">E84*(1+$C84)</f>
        <v>0</v>
      </c>
      <c r="G84" s="350">
        <f t="shared" si="26"/>
        <v>0</v>
      </c>
      <c r="H84" s="350">
        <f t="shared" si="26"/>
        <v>0</v>
      </c>
      <c r="I84" s="350">
        <f t="shared" si="26"/>
        <v>0</v>
      </c>
      <c r="J84" s="350">
        <v>0</v>
      </c>
      <c r="K84" s="337">
        <v>2000</v>
      </c>
      <c r="L84" s="336">
        <f t="shared" si="23"/>
        <v>2050</v>
      </c>
      <c r="M84" s="336">
        <f t="shared" si="23"/>
        <v>2101.25</v>
      </c>
      <c r="N84" s="336">
        <f t="shared" si="23"/>
        <v>2153.78125</v>
      </c>
      <c r="O84" s="336">
        <f t="shared" si="23"/>
        <v>2207.6257812499998</v>
      </c>
      <c r="P84" s="336">
        <f t="shared" si="23"/>
        <v>2262.8164257812496</v>
      </c>
      <c r="Q84" s="338">
        <f t="shared" si="23"/>
        <v>2319.3868364257805</v>
      </c>
      <c r="R84" s="330">
        <f t="shared" si="24"/>
        <v>78</v>
      </c>
    </row>
    <row r="85" spans="1:18" x14ac:dyDescent="0.25">
      <c r="A85" s="330">
        <f t="shared" si="21"/>
        <v>79</v>
      </c>
      <c r="B85" s="349" t="s">
        <v>35</v>
      </c>
      <c r="C85" s="365">
        <v>2.5000000000000001E-2</v>
      </c>
      <c r="D85" s="350">
        <v>564.03600000000006</v>
      </c>
      <c r="E85" s="350">
        <v>800</v>
      </c>
      <c r="F85" s="336">
        <f t="shared" si="26"/>
        <v>819.99999999999989</v>
      </c>
      <c r="G85" s="350">
        <f t="shared" si="26"/>
        <v>840.49999999999977</v>
      </c>
      <c r="H85" s="350">
        <f t="shared" si="26"/>
        <v>861.5124999999997</v>
      </c>
      <c r="I85" s="350">
        <f t="shared" si="26"/>
        <v>883.05031249999968</v>
      </c>
      <c r="J85" s="350">
        <v>500</v>
      </c>
      <c r="K85" s="337">
        <v>500</v>
      </c>
      <c r="L85" s="336">
        <f t="shared" si="23"/>
        <v>512.5</v>
      </c>
      <c r="M85" s="336">
        <f t="shared" si="23"/>
        <v>525.3125</v>
      </c>
      <c r="N85" s="336">
        <f t="shared" si="23"/>
        <v>538.4453125</v>
      </c>
      <c r="O85" s="336">
        <f t="shared" si="23"/>
        <v>551.90644531249995</v>
      </c>
      <c r="P85" s="336">
        <f t="shared" si="23"/>
        <v>565.70410644531239</v>
      </c>
      <c r="Q85" s="338">
        <f t="shared" si="23"/>
        <v>579.84670910644513</v>
      </c>
      <c r="R85" s="330">
        <f t="shared" si="24"/>
        <v>79</v>
      </c>
    </row>
    <row r="86" spans="1:18" x14ac:dyDescent="0.25">
      <c r="A86" s="330">
        <f t="shared" si="21"/>
        <v>80</v>
      </c>
      <c r="B86" s="349" t="s">
        <v>36</v>
      </c>
      <c r="C86" s="365">
        <v>2.5000000000000001E-2</v>
      </c>
      <c r="D86" s="350">
        <v>8338.9560000000001</v>
      </c>
      <c r="E86" s="350">
        <v>4500</v>
      </c>
      <c r="F86" s="336">
        <f t="shared" si="26"/>
        <v>4612.5</v>
      </c>
      <c r="G86" s="350">
        <f t="shared" si="26"/>
        <v>4727.8125</v>
      </c>
      <c r="H86" s="350">
        <f t="shared" si="26"/>
        <v>4846.0078125</v>
      </c>
      <c r="I86" s="350">
        <f t="shared" si="26"/>
        <v>4967.1580078124998</v>
      </c>
      <c r="J86" s="350">
        <v>4500</v>
      </c>
      <c r="K86" s="337">
        <v>4000</v>
      </c>
      <c r="L86" s="336">
        <f t="shared" si="23"/>
        <v>4100</v>
      </c>
      <c r="M86" s="336">
        <f t="shared" si="23"/>
        <v>4202.5</v>
      </c>
      <c r="N86" s="336">
        <f t="shared" si="23"/>
        <v>4307.5625</v>
      </c>
      <c r="O86" s="336">
        <f t="shared" si="23"/>
        <v>4415.2515624999996</v>
      </c>
      <c r="P86" s="336">
        <f t="shared" si="23"/>
        <v>4525.6328515624991</v>
      </c>
      <c r="Q86" s="338">
        <f t="shared" si="23"/>
        <v>4638.7736728515611</v>
      </c>
      <c r="R86" s="330">
        <f t="shared" si="24"/>
        <v>80</v>
      </c>
    </row>
    <row r="87" spans="1:18" x14ac:dyDescent="0.25">
      <c r="A87" s="330">
        <f t="shared" si="21"/>
        <v>81</v>
      </c>
      <c r="B87" s="359" t="s">
        <v>37</v>
      </c>
      <c r="C87" s="365">
        <v>2.5000000000000001E-2</v>
      </c>
      <c r="D87" s="350">
        <v>0</v>
      </c>
      <c r="E87" s="350"/>
      <c r="F87" s="336">
        <f t="shared" si="26"/>
        <v>0</v>
      </c>
      <c r="G87" s="350">
        <f t="shared" si="26"/>
        <v>0</v>
      </c>
      <c r="H87" s="350">
        <f t="shared" si="26"/>
        <v>0</v>
      </c>
      <c r="I87" s="350">
        <f t="shared" si="26"/>
        <v>0</v>
      </c>
      <c r="J87" s="350">
        <f>I87*(1+$C87)</f>
        <v>0</v>
      </c>
      <c r="K87" s="337">
        <v>500</v>
      </c>
      <c r="L87" s="336">
        <f t="shared" si="23"/>
        <v>512.5</v>
      </c>
      <c r="M87" s="336">
        <f t="shared" si="23"/>
        <v>525.3125</v>
      </c>
      <c r="N87" s="336">
        <f t="shared" si="23"/>
        <v>538.4453125</v>
      </c>
      <c r="O87" s="336">
        <f t="shared" si="23"/>
        <v>551.90644531249995</v>
      </c>
      <c r="P87" s="336">
        <f t="shared" si="23"/>
        <v>565.70410644531239</v>
      </c>
      <c r="Q87" s="338">
        <f t="shared" si="23"/>
        <v>579.84670910644513</v>
      </c>
      <c r="R87" s="330">
        <f t="shared" si="24"/>
        <v>81</v>
      </c>
    </row>
    <row r="88" spans="1:18" x14ac:dyDescent="0.25">
      <c r="A88" s="330">
        <f t="shared" si="21"/>
        <v>82</v>
      </c>
      <c r="B88" s="349" t="s">
        <v>38</v>
      </c>
      <c r="C88" s="365">
        <v>2.5000000000000001E-2</v>
      </c>
      <c r="D88" s="350">
        <v>5648.0399999999991</v>
      </c>
      <c r="E88" s="350">
        <v>5200</v>
      </c>
      <c r="F88" s="336">
        <f t="shared" si="26"/>
        <v>5329.9999999999991</v>
      </c>
      <c r="G88" s="350">
        <f t="shared" si="26"/>
        <v>5463.2499999999982</v>
      </c>
      <c r="H88" s="350">
        <f t="shared" si="26"/>
        <v>5599.8312499999975</v>
      </c>
      <c r="I88" s="350">
        <f t="shared" si="26"/>
        <v>5739.8270312499972</v>
      </c>
      <c r="J88" s="350">
        <v>7000</v>
      </c>
      <c r="K88" s="337">
        <v>7000</v>
      </c>
      <c r="L88" s="336">
        <f t="shared" ref="L88:Q91" si="27">K88*(1+$C88)</f>
        <v>7174.9999999999991</v>
      </c>
      <c r="M88" s="336">
        <f t="shared" si="27"/>
        <v>7354.3749999999982</v>
      </c>
      <c r="N88" s="336">
        <f t="shared" si="27"/>
        <v>7538.2343749999973</v>
      </c>
      <c r="O88" s="336">
        <f t="shared" si="27"/>
        <v>7726.6902343749962</v>
      </c>
      <c r="P88" s="336">
        <f t="shared" si="27"/>
        <v>7919.8574902343707</v>
      </c>
      <c r="Q88" s="338">
        <f t="shared" si="27"/>
        <v>8117.8539274902296</v>
      </c>
      <c r="R88" s="330">
        <f t="shared" si="24"/>
        <v>82</v>
      </c>
    </row>
    <row r="89" spans="1:18" x14ac:dyDescent="0.25">
      <c r="A89" s="330">
        <f t="shared" si="21"/>
        <v>83</v>
      </c>
      <c r="B89" s="369" t="s">
        <v>39</v>
      </c>
      <c r="C89" s="365">
        <v>2.5000000000000001E-2</v>
      </c>
      <c r="D89" s="350">
        <v>46158.39</v>
      </c>
      <c r="E89" s="350">
        <v>38606</v>
      </c>
      <c r="F89" s="336">
        <f t="shared" si="26"/>
        <v>39571.149999999994</v>
      </c>
      <c r="G89" s="350">
        <f t="shared" si="26"/>
        <v>40560.428749999992</v>
      </c>
      <c r="H89" s="350">
        <f t="shared" si="26"/>
        <v>41574.439468749988</v>
      </c>
      <c r="I89" s="350">
        <f t="shared" si="26"/>
        <v>42613.800455468736</v>
      </c>
      <c r="J89" s="350">
        <v>0</v>
      </c>
      <c r="K89" s="337">
        <v>0</v>
      </c>
      <c r="L89" s="336">
        <f t="shared" si="27"/>
        <v>0</v>
      </c>
      <c r="M89" s="336">
        <f t="shared" si="27"/>
        <v>0</v>
      </c>
      <c r="N89" s="336">
        <f t="shared" si="27"/>
        <v>0</v>
      </c>
      <c r="O89" s="336">
        <f t="shared" si="27"/>
        <v>0</v>
      </c>
      <c r="P89" s="336">
        <f t="shared" si="27"/>
        <v>0</v>
      </c>
      <c r="Q89" s="338">
        <f t="shared" si="27"/>
        <v>0</v>
      </c>
      <c r="R89" s="330">
        <f t="shared" si="24"/>
        <v>83</v>
      </c>
    </row>
    <row r="90" spans="1:18" x14ac:dyDescent="0.25">
      <c r="A90" s="330">
        <f t="shared" si="21"/>
        <v>84</v>
      </c>
      <c r="B90" s="369" t="s">
        <v>49</v>
      </c>
      <c r="C90" s="365">
        <v>2.5000000000000001E-2</v>
      </c>
      <c r="D90" s="350"/>
      <c r="E90" s="350"/>
      <c r="F90" s="336">
        <f t="shared" si="26"/>
        <v>0</v>
      </c>
      <c r="G90" s="350">
        <f t="shared" si="26"/>
        <v>0</v>
      </c>
      <c r="H90" s="350">
        <f t="shared" si="26"/>
        <v>0</v>
      </c>
      <c r="I90" s="350">
        <f t="shared" si="26"/>
        <v>0</v>
      </c>
      <c r="J90" s="350">
        <f>I90*(1+$C90)</f>
        <v>0</v>
      </c>
      <c r="K90" s="337">
        <f>J90*(1+$C90)</f>
        <v>0</v>
      </c>
      <c r="L90" s="336">
        <f t="shared" si="27"/>
        <v>0</v>
      </c>
      <c r="M90" s="336">
        <f t="shared" si="27"/>
        <v>0</v>
      </c>
      <c r="N90" s="336">
        <f t="shared" si="27"/>
        <v>0</v>
      </c>
      <c r="O90" s="336">
        <f t="shared" si="27"/>
        <v>0</v>
      </c>
      <c r="P90" s="336">
        <f t="shared" si="27"/>
        <v>0</v>
      </c>
      <c r="Q90" s="338">
        <f t="shared" si="27"/>
        <v>0</v>
      </c>
      <c r="R90" s="330">
        <f t="shared" si="24"/>
        <v>84</v>
      </c>
    </row>
    <row r="91" spans="1:18" x14ac:dyDescent="0.25">
      <c r="A91" s="330">
        <f t="shared" si="21"/>
        <v>85</v>
      </c>
      <c r="B91" s="369" t="s">
        <v>348</v>
      </c>
      <c r="C91" s="365">
        <v>2.5000000000000001E-2</v>
      </c>
      <c r="D91" s="350">
        <v>10985.466666666667</v>
      </c>
      <c r="E91" s="350">
        <v>18586.919999999998</v>
      </c>
      <c r="F91" s="336">
        <f t="shared" si="26"/>
        <v>19051.592999999997</v>
      </c>
      <c r="G91" s="350">
        <f t="shared" si="26"/>
        <v>19527.882824999997</v>
      </c>
      <c r="H91" s="350">
        <f t="shared" si="26"/>
        <v>20016.079895624996</v>
      </c>
      <c r="I91" s="350">
        <f t="shared" si="26"/>
        <v>20516.481893015618</v>
      </c>
      <c r="J91" s="350">
        <v>12382</v>
      </c>
      <c r="K91" s="337">
        <f>70000-28100</f>
        <v>41900</v>
      </c>
      <c r="L91" s="336">
        <f t="shared" si="27"/>
        <v>42947.499999999993</v>
      </c>
      <c r="M91" s="336">
        <f t="shared" si="27"/>
        <v>44021.187499999985</v>
      </c>
      <c r="N91" s="336">
        <f t="shared" si="27"/>
        <v>45121.717187499984</v>
      </c>
      <c r="O91" s="336">
        <f t="shared" si="27"/>
        <v>46249.760117187478</v>
      </c>
      <c r="P91" s="336">
        <f t="shared" si="27"/>
        <v>47406.004120117163</v>
      </c>
      <c r="Q91" s="338">
        <f t="shared" si="27"/>
        <v>48591.154223120087</v>
      </c>
      <c r="R91" s="330">
        <f t="shared" si="24"/>
        <v>85</v>
      </c>
    </row>
    <row r="92" spans="1:18" x14ac:dyDescent="0.25">
      <c r="A92" s="330">
        <f t="shared" si="21"/>
        <v>86</v>
      </c>
      <c r="B92" s="339" t="s">
        <v>40</v>
      </c>
      <c r="C92" s="340"/>
      <c r="D92" s="342">
        <f t="shared" ref="D92:J92" si="28">SUM(D71:D91)</f>
        <v>177996.67266666668</v>
      </c>
      <c r="E92" s="342">
        <f t="shared" si="28"/>
        <v>176006.91999999998</v>
      </c>
      <c r="F92" s="342">
        <f t="shared" si="28"/>
        <v>180407.09299999999</v>
      </c>
      <c r="G92" s="342">
        <f t="shared" si="28"/>
        <v>184917.27032499999</v>
      </c>
      <c r="H92" s="342">
        <f t="shared" si="28"/>
        <v>189540.20208312495</v>
      </c>
      <c r="I92" s="342">
        <f t="shared" si="28"/>
        <v>194278.70713520306</v>
      </c>
      <c r="J92" s="342">
        <f t="shared" si="28"/>
        <v>116982</v>
      </c>
      <c r="K92" s="343">
        <f>SUM(K71:K91)</f>
        <v>168192</v>
      </c>
      <c r="L92" s="342">
        <f t="shared" ref="L92:Q92" si="29">SUM(L71:L91)</f>
        <v>171371.8</v>
      </c>
      <c r="M92" s="342">
        <f t="shared" si="29"/>
        <v>175656.09499999997</v>
      </c>
      <c r="N92" s="342">
        <f t="shared" si="29"/>
        <v>180047.49737499992</v>
      </c>
      <c r="O92" s="342">
        <f t="shared" si="29"/>
        <v>184548.68480937494</v>
      </c>
      <c r="P92" s="342">
        <f t="shared" si="29"/>
        <v>189162.4019296093</v>
      </c>
      <c r="Q92" s="344">
        <f t="shared" si="29"/>
        <v>193891.46197784948</v>
      </c>
      <c r="R92" s="330">
        <f t="shared" si="24"/>
        <v>86</v>
      </c>
    </row>
    <row r="93" spans="1:18" x14ac:dyDescent="0.25">
      <c r="A93" s="330">
        <f t="shared" si="21"/>
        <v>87</v>
      </c>
      <c r="B93" s="369"/>
      <c r="C93" s="370"/>
      <c r="D93" s="370"/>
      <c r="E93" s="370"/>
      <c r="F93" s="370"/>
      <c r="G93" s="370"/>
      <c r="H93" s="370"/>
      <c r="I93" s="370"/>
      <c r="J93" s="370"/>
      <c r="K93" s="371"/>
      <c r="L93" s="370"/>
      <c r="M93" s="370"/>
      <c r="N93" s="370"/>
      <c r="O93" s="370"/>
      <c r="P93" s="370"/>
      <c r="Q93" s="372"/>
      <c r="R93" s="330">
        <f t="shared" si="24"/>
        <v>87</v>
      </c>
    </row>
    <row r="94" spans="1:18" ht="15.75" thickBot="1" x14ac:dyDescent="0.3">
      <c r="A94" s="330">
        <f t="shared" si="21"/>
        <v>88</v>
      </c>
      <c r="B94" s="373" t="s">
        <v>349</v>
      </c>
      <c r="C94" s="374">
        <f>SUM(C34:C92)</f>
        <v>1.2499999999999996</v>
      </c>
      <c r="D94" s="375">
        <f t="shared" ref="D94:Q94" si="30">D42+D68+D92</f>
        <v>557626.88066666666</v>
      </c>
      <c r="E94" s="375">
        <f t="shared" si="30"/>
        <v>563459.56799999997</v>
      </c>
      <c r="F94" s="375">
        <f t="shared" si="30"/>
        <v>577546.05719999992</v>
      </c>
      <c r="G94" s="375">
        <f>G42+G68+G92</f>
        <v>591984.70863000001</v>
      </c>
      <c r="H94" s="375">
        <f t="shared" si="30"/>
        <v>606784.3263457499</v>
      </c>
      <c r="I94" s="375">
        <f t="shared" si="30"/>
        <v>621953.93450439349</v>
      </c>
      <c r="J94" s="375">
        <f t="shared" si="30"/>
        <v>642908</v>
      </c>
      <c r="K94" s="376">
        <f t="shared" si="30"/>
        <v>743166.24</v>
      </c>
      <c r="L94" s="375">
        <f t="shared" si="30"/>
        <v>760720.39599999995</v>
      </c>
      <c r="M94" s="375">
        <f t="shared" si="30"/>
        <v>779738.4058999999</v>
      </c>
      <c r="N94" s="375">
        <f t="shared" si="30"/>
        <v>799231.86604749982</v>
      </c>
      <c r="O94" s="375">
        <f t="shared" si="30"/>
        <v>819212.66269868729</v>
      </c>
      <c r="P94" s="375">
        <f t="shared" si="30"/>
        <v>839692.97926615435</v>
      </c>
      <c r="Q94" s="377">
        <f t="shared" si="30"/>
        <v>860685.3037478081</v>
      </c>
      <c r="R94" s="330">
        <f t="shared" si="24"/>
        <v>88</v>
      </c>
    </row>
    <row r="95" spans="1:18" x14ac:dyDescent="0.25">
      <c r="A95" s="330">
        <f t="shared" si="21"/>
        <v>89</v>
      </c>
      <c r="B95" s="329"/>
      <c r="C95" s="329"/>
      <c r="D95" s="329"/>
      <c r="E95" s="329"/>
      <c r="F95" s="329"/>
      <c r="G95" s="329"/>
      <c r="H95" s="329"/>
      <c r="I95" s="329"/>
      <c r="J95" s="329"/>
      <c r="K95" s="329"/>
      <c r="L95" s="329"/>
      <c r="M95" s="329"/>
      <c r="N95" s="329"/>
      <c r="O95" s="329"/>
      <c r="P95" s="329"/>
      <c r="Q95" s="329"/>
      <c r="R95" s="330">
        <f t="shared" si="24"/>
        <v>89</v>
      </c>
    </row>
    <row r="96" spans="1:18" x14ac:dyDescent="0.25">
      <c r="A96" s="330">
        <f t="shared" si="21"/>
        <v>90</v>
      </c>
      <c r="B96" s="329"/>
      <c r="C96" s="329"/>
      <c r="D96" s="329"/>
      <c r="E96" s="329"/>
      <c r="F96" s="329"/>
      <c r="G96" s="329"/>
      <c r="H96" s="329"/>
      <c r="I96" s="329"/>
      <c r="J96" s="329"/>
      <c r="K96" s="329"/>
      <c r="L96" s="329"/>
      <c r="M96" s="329"/>
      <c r="N96" s="329"/>
      <c r="O96" s="329"/>
      <c r="P96" s="329"/>
      <c r="Q96" s="329"/>
      <c r="R96" s="330">
        <f t="shared" si="24"/>
        <v>90</v>
      </c>
    </row>
    <row r="97" spans="1:18" ht="38.25" thickBot="1" x14ac:dyDescent="0.35">
      <c r="A97" s="330">
        <f t="shared" si="21"/>
        <v>91</v>
      </c>
      <c r="B97" s="395" t="s">
        <v>350</v>
      </c>
      <c r="C97" s="378" t="s">
        <v>351</v>
      </c>
      <c r="D97" s="331">
        <v>2011</v>
      </c>
      <c r="E97" s="331">
        <f t="shared" ref="E97:Q97" si="31">D97+1</f>
        <v>2012</v>
      </c>
      <c r="F97" s="331">
        <f t="shared" si="31"/>
        <v>2013</v>
      </c>
      <c r="G97" s="331">
        <f t="shared" si="31"/>
        <v>2014</v>
      </c>
      <c r="H97" s="331">
        <f t="shared" si="31"/>
        <v>2015</v>
      </c>
      <c r="I97" s="331">
        <f t="shared" si="31"/>
        <v>2016</v>
      </c>
      <c r="J97" s="331">
        <f t="shared" si="31"/>
        <v>2017</v>
      </c>
      <c r="K97" s="331">
        <f t="shared" si="31"/>
        <v>2018</v>
      </c>
      <c r="L97" s="331">
        <f t="shared" si="31"/>
        <v>2019</v>
      </c>
      <c r="M97" s="331">
        <f t="shared" si="31"/>
        <v>2020</v>
      </c>
      <c r="N97" s="331">
        <f t="shared" si="31"/>
        <v>2021</v>
      </c>
      <c r="O97" s="331">
        <f t="shared" si="31"/>
        <v>2022</v>
      </c>
      <c r="P97" s="331">
        <f t="shared" si="31"/>
        <v>2023</v>
      </c>
      <c r="Q97" s="331">
        <f t="shared" si="31"/>
        <v>2024</v>
      </c>
      <c r="R97" s="330">
        <f t="shared" si="24"/>
        <v>91</v>
      </c>
    </row>
    <row r="98" spans="1:18" x14ac:dyDescent="0.25">
      <c r="A98" s="330">
        <f t="shared" si="21"/>
        <v>92</v>
      </c>
      <c r="B98" s="396" t="s">
        <v>2</v>
      </c>
      <c r="C98" s="401" t="s">
        <v>352</v>
      </c>
      <c r="D98" s="397"/>
      <c r="E98" s="398"/>
      <c r="F98" s="397"/>
      <c r="G98" s="397"/>
      <c r="H98" s="397"/>
      <c r="I98" s="397"/>
      <c r="J98" s="397"/>
      <c r="K98" s="397"/>
      <c r="L98" s="397"/>
      <c r="M98" s="397"/>
      <c r="N98" s="397"/>
      <c r="O98" s="397"/>
      <c r="P98" s="397"/>
      <c r="Q98" s="397"/>
      <c r="R98" s="330">
        <f t="shared" si="24"/>
        <v>92</v>
      </c>
    </row>
    <row r="99" spans="1:18" x14ac:dyDescent="0.25">
      <c r="A99" s="330">
        <f t="shared" si="21"/>
        <v>93</v>
      </c>
      <c r="B99" s="349" t="s">
        <v>3</v>
      </c>
      <c r="C99" s="379">
        <v>1</v>
      </c>
      <c r="D99" s="336">
        <f>D35*$C99</f>
        <v>25695.168000000001</v>
      </c>
      <c r="E99" s="336">
        <f t="shared" ref="E99:Q99" si="32">E35*$C99</f>
        <v>25695.168000000001</v>
      </c>
      <c r="F99" s="336">
        <f t="shared" si="32"/>
        <v>26337.547200000001</v>
      </c>
      <c r="G99" s="336">
        <f t="shared" si="32"/>
        <v>26995.98588</v>
      </c>
      <c r="H99" s="336">
        <f t="shared" si="32"/>
        <v>27670.885526999999</v>
      </c>
      <c r="I99" s="380">
        <f>I35*$C99</f>
        <v>28362.657665174997</v>
      </c>
      <c r="J99" s="336">
        <f t="shared" si="32"/>
        <v>53927</v>
      </c>
      <c r="K99" s="336">
        <f t="shared" si="32"/>
        <v>61981</v>
      </c>
      <c r="L99" s="336">
        <f t="shared" si="32"/>
        <v>63530.524999999994</v>
      </c>
      <c r="M99" s="336">
        <f t="shared" si="32"/>
        <v>65118.788124999992</v>
      </c>
      <c r="N99" s="336">
        <f t="shared" si="32"/>
        <v>66746.757828124988</v>
      </c>
      <c r="O99" s="336">
        <f t="shared" si="32"/>
        <v>68415.426773828105</v>
      </c>
      <c r="P99" s="336">
        <f t="shared" si="32"/>
        <v>70125.812443173796</v>
      </c>
      <c r="Q99" s="336">
        <f t="shared" si="32"/>
        <v>71878.957754253133</v>
      </c>
      <c r="R99" s="330">
        <f t="shared" si="24"/>
        <v>93</v>
      </c>
    </row>
    <row r="100" spans="1:18" x14ac:dyDescent="0.25">
      <c r="A100" s="330">
        <f t="shared" si="21"/>
        <v>94</v>
      </c>
      <c r="B100" s="349" t="s">
        <v>333</v>
      </c>
      <c r="C100" s="379">
        <v>1</v>
      </c>
      <c r="D100" s="336">
        <f t="shared" ref="D100:Q105" si="33">D36*$C100</f>
        <v>14326.511999999999</v>
      </c>
      <c r="E100" s="336">
        <f t="shared" si="33"/>
        <v>14326.511999999999</v>
      </c>
      <c r="F100" s="336">
        <f t="shared" si="33"/>
        <v>14684.674799999997</v>
      </c>
      <c r="G100" s="336">
        <f t="shared" si="33"/>
        <v>15051.791669999995</v>
      </c>
      <c r="H100" s="336">
        <f t="shared" si="33"/>
        <v>15428.086461749994</v>
      </c>
      <c r="I100" s="336">
        <f t="shared" si="33"/>
        <v>15813.788623293742</v>
      </c>
      <c r="J100" s="336">
        <f t="shared" si="33"/>
        <v>20062</v>
      </c>
      <c r="K100" s="336">
        <f t="shared" si="33"/>
        <v>25599</v>
      </c>
      <c r="L100" s="336">
        <f t="shared" si="33"/>
        <v>26238.974999999999</v>
      </c>
      <c r="M100" s="336">
        <f t="shared" si="33"/>
        <v>26894.949374999997</v>
      </c>
      <c r="N100" s="336">
        <f t="shared" si="33"/>
        <v>27567.323109374993</v>
      </c>
      <c r="O100" s="336">
        <f t="shared" si="33"/>
        <v>28256.506187109364</v>
      </c>
      <c r="P100" s="336">
        <f t="shared" si="33"/>
        <v>28962.918841787097</v>
      </c>
      <c r="Q100" s="336">
        <f t="shared" si="33"/>
        <v>29686.991812831773</v>
      </c>
      <c r="R100" s="330">
        <f t="shared" si="24"/>
        <v>94</v>
      </c>
    </row>
    <row r="101" spans="1:18" x14ac:dyDescent="0.25">
      <c r="A101" s="330">
        <f t="shared" si="21"/>
        <v>95</v>
      </c>
      <c r="B101" s="349" t="s">
        <v>4</v>
      </c>
      <c r="C101" s="379">
        <v>1</v>
      </c>
      <c r="D101" s="336">
        <f t="shared" si="33"/>
        <v>2573.04</v>
      </c>
      <c r="E101" s="336">
        <f t="shared" si="33"/>
        <v>2573.04</v>
      </c>
      <c r="F101" s="336">
        <f t="shared" si="33"/>
        <v>2637.3659999999995</v>
      </c>
      <c r="G101" s="336">
        <f t="shared" si="33"/>
        <v>2703.3001499999991</v>
      </c>
      <c r="H101" s="336">
        <f t="shared" si="33"/>
        <v>2770.882653749999</v>
      </c>
      <c r="I101" s="336">
        <f t="shared" si="33"/>
        <v>2840.1547200937489</v>
      </c>
      <c r="J101" s="336">
        <f t="shared" si="33"/>
        <v>3055</v>
      </c>
      <c r="K101" s="336">
        <f t="shared" si="33"/>
        <v>0</v>
      </c>
      <c r="L101" s="336">
        <f t="shared" si="33"/>
        <v>0</v>
      </c>
      <c r="M101" s="336">
        <f t="shared" si="33"/>
        <v>0</v>
      </c>
      <c r="N101" s="336">
        <f t="shared" si="33"/>
        <v>0</v>
      </c>
      <c r="O101" s="336">
        <f t="shared" si="33"/>
        <v>0</v>
      </c>
      <c r="P101" s="336">
        <f t="shared" si="33"/>
        <v>0</v>
      </c>
      <c r="Q101" s="336">
        <f t="shared" si="33"/>
        <v>0</v>
      </c>
      <c r="R101" s="330">
        <f t="shared" si="24"/>
        <v>95</v>
      </c>
    </row>
    <row r="102" spans="1:18" x14ac:dyDescent="0.25">
      <c r="A102" s="330">
        <f t="shared" si="21"/>
        <v>96</v>
      </c>
      <c r="B102" s="349" t="s">
        <v>5</v>
      </c>
      <c r="C102" s="379">
        <v>1</v>
      </c>
      <c r="D102" s="336">
        <f t="shared" si="33"/>
        <v>39358.28</v>
      </c>
      <c r="E102" s="336">
        <f t="shared" si="33"/>
        <v>39358.28</v>
      </c>
      <c r="F102" s="336">
        <f t="shared" si="33"/>
        <v>40342.236999999994</v>
      </c>
      <c r="G102" s="336">
        <f t="shared" si="33"/>
        <v>41350.792924999987</v>
      </c>
      <c r="H102" s="336">
        <f t="shared" si="33"/>
        <v>42384.562748124983</v>
      </c>
      <c r="I102" s="336">
        <f t="shared" si="33"/>
        <v>43444.176816828105</v>
      </c>
      <c r="J102" s="336">
        <f t="shared" si="33"/>
        <v>71726</v>
      </c>
      <c r="K102" s="336">
        <f t="shared" si="33"/>
        <v>77406.240000000005</v>
      </c>
      <c r="L102" s="336">
        <f t="shared" si="33"/>
        <v>79341.395999999993</v>
      </c>
      <c r="M102" s="336">
        <f t="shared" si="33"/>
        <v>81324.930899999992</v>
      </c>
      <c r="N102" s="336">
        <f t="shared" si="33"/>
        <v>83358.054172499978</v>
      </c>
      <c r="O102" s="336">
        <f t="shared" si="33"/>
        <v>85442.005526812471</v>
      </c>
      <c r="P102" s="336">
        <f t="shared" si="33"/>
        <v>87578.055664982778</v>
      </c>
      <c r="Q102" s="336">
        <f t="shared" si="33"/>
        <v>89767.507056607341</v>
      </c>
      <c r="R102" s="330">
        <f t="shared" si="24"/>
        <v>96</v>
      </c>
    </row>
    <row r="103" spans="1:18" x14ac:dyDescent="0.25">
      <c r="A103" s="330">
        <f t="shared" si="21"/>
        <v>97</v>
      </c>
      <c r="B103" s="349" t="s">
        <v>6</v>
      </c>
      <c r="C103" s="379">
        <v>1</v>
      </c>
      <c r="D103" s="336">
        <f t="shared" si="33"/>
        <v>6992.82</v>
      </c>
      <c r="E103" s="336">
        <f t="shared" si="33"/>
        <v>6992.82</v>
      </c>
      <c r="F103" s="336">
        <f t="shared" si="33"/>
        <v>7167.6404999999995</v>
      </c>
      <c r="G103" s="336">
        <f t="shared" si="33"/>
        <v>7346.831512499999</v>
      </c>
      <c r="H103" s="336">
        <f t="shared" si="33"/>
        <v>7530.5023003124979</v>
      </c>
      <c r="I103" s="336">
        <f t="shared" si="33"/>
        <v>7718.7648578203098</v>
      </c>
      <c r="J103" s="336">
        <f t="shared" si="33"/>
        <v>5050</v>
      </c>
      <c r="K103" s="336">
        <f t="shared" si="33"/>
        <v>6118</v>
      </c>
      <c r="L103" s="336">
        <f t="shared" si="33"/>
        <v>6270.95</v>
      </c>
      <c r="M103" s="336">
        <f t="shared" si="33"/>
        <v>6427.7237499999992</v>
      </c>
      <c r="N103" s="336">
        <f t="shared" si="33"/>
        <v>6588.4168437499984</v>
      </c>
      <c r="O103" s="336">
        <f t="shared" si="33"/>
        <v>6753.127264843748</v>
      </c>
      <c r="P103" s="336">
        <f t="shared" si="33"/>
        <v>6921.9554464648409</v>
      </c>
      <c r="Q103" s="336">
        <f t="shared" si="33"/>
        <v>7095.0043326264613</v>
      </c>
      <c r="R103" s="330">
        <f t="shared" si="24"/>
        <v>97</v>
      </c>
    </row>
    <row r="104" spans="1:18" x14ac:dyDescent="0.25">
      <c r="A104" s="330">
        <f t="shared" si="21"/>
        <v>98</v>
      </c>
      <c r="B104" s="359" t="s">
        <v>334</v>
      </c>
      <c r="C104" s="379">
        <v>1</v>
      </c>
      <c r="D104" s="336">
        <f t="shared" si="33"/>
        <v>0</v>
      </c>
      <c r="E104" s="336">
        <f t="shared" si="33"/>
        <v>0</v>
      </c>
      <c r="F104" s="336">
        <f t="shared" si="33"/>
        <v>0</v>
      </c>
      <c r="G104" s="336">
        <f t="shared" si="33"/>
        <v>0</v>
      </c>
      <c r="H104" s="336">
        <f t="shared" si="33"/>
        <v>0</v>
      </c>
      <c r="I104" s="336">
        <f t="shared" si="33"/>
        <v>0</v>
      </c>
      <c r="J104" s="336">
        <f t="shared" si="33"/>
        <v>0</v>
      </c>
      <c r="K104" s="336">
        <f t="shared" si="33"/>
        <v>0</v>
      </c>
      <c r="L104" s="336">
        <f t="shared" si="33"/>
        <v>0</v>
      </c>
      <c r="M104" s="336">
        <f t="shared" si="33"/>
        <v>0</v>
      </c>
      <c r="N104" s="336">
        <f t="shared" si="33"/>
        <v>0</v>
      </c>
      <c r="O104" s="336">
        <f t="shared" si="33"/>
        <v>0</v>
      </c>
      <c r="P104" s="336">
        <f t="shared" si="33"/>
        <v>0</v>
      </c>
      <c r="Q104" s="336">
        <f t="shared" si="33"/>
        <v>0</v>
      </c>
      <c r="R104" s="330">
        <f t="shared" si="24"/>
        <v>98</v>
      </c>
    </row>
    <row r="105" spans="1:18" x14ac:dyDescent="0.25">
      <c r="A105" s="330">
        <f t="shared" si="21"/>
        <v>99</v>
      </c>
      <c r="B105" s="349" t="s">
        <v>7</v>
      </c>
      <c r="C105" s="379">
        <v>1</v>
      </c>
      <c r="D105" s="336">
        <f t="shared" si="33"/>
        <v>190725.82799999998</v>
      </c>
      <c r="E105" s="336">
        <f t="shared" si="33"/>
        <v>190725.82799999998</v>
      </c>
      <c r="F105" s="336">
        <f t="shared" si="33"/>
        <v>195493.97369999997</v>
      </c>
      <c r="G105" s="336">
        <f t="shared" si="33"/>
        <v>200381.32304249995</v>
      </c>
      <c r="H105" s="336">
        <f t="shared" si="33"/>
        <v>205390.85611856243</v>
      </c>
      <c r="I105" s="336">
        <f t="shared" si="33"/>
        <v>210525.62752152648</v>
      </c>
      <c r="J105" s="336">
        <f t="shared" si="33"/>
        <v>256791</v>
      </c>
      <c r="K105" s="336">
        <f t="shared" si="33"/>
        <v>296420</v>
      </c>
      <c r="L105" s="336">
        <f t="shared" si="33"/>
        <v>303830.5</v>
      </c>
      <c r="M105" s="336">
        <f t="shared" si="33"/>
        <v>311426.26249999995</v>
      </c>
      <c r="N105" s="336">
        <f t="shared" si="33"/>
        <v>319211.91906249995</v>
      </c>
      <c r="O105" s="336">
        <f t="shared" si="33"/>
        <v>327192.21703906241</v>
      </c>
      <c r="P105" s="336">
        <f t="shared" si="33"/>
        <v>335372.02246503893</v>
      </c>
      <c r="Q105" s="336">
        <f t="shared" si="33"/>
        <v>343756.32302666485</v>
      </c>
      <c r="R105" s="330">
        <f t="shared" si="24"/>
        <v>99</v>
      </c>
    </row>
    <row r="106" spans="1:18" x14ac:dyDescent="0.25">
      <c r="A106" s="330">
        <f t="shared" si="21"/>
        <v>100</v>
      </c>
      <c r="B106" s="339" t="s">
        <v>327</v>
      </c>
      <c r="C106" s="381"/>
      <c r="D106" s="342">
        <f>SUM(D99:D105)</f>
        <v>279671.64799999999</v>
      </c>
      <c r="E106" s="342">
        <f>SUM(E99:E105)</f>
        <v>279671.64799999999</v>
      </c>
      <c r="F106" s="342">
        <f>SUM(F99:F105)</f>
        <v>286663.43919999996</v>
      </c>
      <c r="G106" s="342">
        <f t="shared" ref="G106:Q106" si="34">SUM(G99:G105)</f>
        <v>293830.02517999994</v>
      </c>
      <c r="H106" s="342">
        <f t="shared" si="34"/>
        <v>301175.7758094999</v>
      </c>
      <c r="I106" s="342">
        <f t="shared" si="34"/>
        <v>308705.1702047374</v>
      </c>
      <c r="J106" s="342">
        <f t="shared" si="34"/>
        <v>410611</v>
      </c>
      <c r="K106" s="342">
        <f t="shared" si="34"/>
        <v>467524.24</v>
      </c>
      <c r="L106" s="342">
        <f t="shared" si="34"/>
        <v>479212.34600000002</v>
      </c>
      <c r="M106" s="342">
        <f t="shared" si="34"/>
        <v>491192.65464999992</v>
      </c>
      <c r="N106" s="342">
        <f t="shared" si="34"/>
        <v>503472.47101624991</v>
      </c>
      <c r="O106" s="342">
        <f t="shared" si="34"/>
        <v>516059.28279165609</v>
      </c>
      <c r="P106" s="342">
        <f t="shared" si="34"/>
        <v>528960.7648614475</v>
      </c>
      <c r="Q106" s="342">
        <f t="shared" si="34"/>
        <v>542184.78398298356</v>
      </c>
      <c r="R106" s="330">
        <f t="shared" si="24"/>
        <v>100</v>
      </c>
    </row>
    <row r="107" spans="1:18" ht="15.75" thickBot="1" x14ac:dyDescent="0.3">
      <c r="A107" s="330">
        <f t="shared" si="21"/>
        <v>101</v>
      </c>
      <c r="B107" s="360"/>
      <c r="C107" s="382"/>
      <c r="D107" s="352"/>
      <c r="E107" s="352"/>
      <c r="F107" s="352"/>
      <c r="G107" s="352"/>
      <c r="H107" s="352"/>
      <c r="I107" s="352"/>
      <c r="J107" s="352"/>
      <c r="K107" s="352"/>
      <c r="L107" s="352"/>
      <c r="M107" s="352"/>
      <c r="N107" s="352"/>
      <c r="O107" s="352"/>
      <c r="P107" s="352"/>
      <c r="Q107" s="352"/>
      <c r="R107" s="330">
        <f t="shared" si="24"/>
        <v>101</v>
      </c>
    </row>
    <row r="108" spans="1:18" x14ac:dyDescent="0.25">
      <c r="A108" s="330">
        <f t="shared" si="21"/>
        <v>102</v>
      </c>
      <c r="B108" s="396" t="s">
        <v>9</v>
      </c>
      <c r="C108" s="397"/>
      <c r="D108" s="397"/>
      <c r="E108" s="398"/>
      <c r="F108" s="397"/>
      <c r="G108" s="397"/>
      <c r="H108" s="397"/>
      <c r="I108" s="397"/>
      <c r="J108" s="397"/>
      <c r="K108" s="397"/>
      <c r="L108" s="397"/>
      <c r="M108" s="397"/>
      <c r="N108" s="397"/>
      <c r="O108" s="397"/>
      <c r="P108" s="397"/>
      <c r="Q108" s="397"/>
      <c r="R108" s="330">
        <f t="shared" si="24"/>
        <v>102</v>
      </c>
    </row>
    <row r="109" spans="1:18" x14ac:dyDescent="0.25">
      <c r="A109" s="330">
        <f t="shared" si="21"/>
        <v>103</v>
      </c>
      <c r="B109" s="364" t="s">
        <v>10</v>
      </c>
      <c r="C109" s="379">
        <v>1</v>
      </c>
      <c r="D109" s="336">
        <f t="shared" ref="D109:Q110" si="35">D45*$C109</f>
        <v>11231.099999999999</v>
      </c>
      <c r="E109" s="336">
        <f t="shared" si="35"/>
        <v>0</v>
      </c>
      <c r="F109" s="336">
        <f t="shared" si="35"/>
        <v>0</v>
      </c>
      <c r="G109" s="336">
        <f t="shared" si="35"/>
        <v>0</v>
      </c>
      <c r="H109" s="336">
        <f t="shared" si="35"/>
        <v>0</v>
      </c>
      <c r="I109" s="336">
        <f t="shared" si="35"/>
        <v>0</v>
      </c>
      <c r="J109" s="336">
        <f t="shared" si="35"/>
        <v>0</v>
      </c>
      <c r="K109" s="336">
        <f t="shared" si="35"/>
        <v>0</v>
      </c>
      <c r="L109" s="336">
        <f t="shared" si="35"/>
        <v>0</v>
      </c>
      <c r="M109" s="336">
        <f t="shared" si="35"/>
        <v>0</v>
      </c>
      <c r="N109" s="336">
        <f t="shared" si="35"/>
        <v>0</v>
      </c>
      <c r="O109" s="336">
        <f t="shared" si="35"/>
        <v>0</v>
      </c>
      <c r="P109" s="336">
        <f t="shared" si="35"/>
        <v>0</v>
      </c>
      <c r="Q109" s="336">
        <f t="shared" si="35"/>
        <v>0</v>
      </c>
      <c r="R109" s="330">
        <f t="shared" si="24"/>
        <v>103</v>
      </c>
    </row>
    <row r="110" spans="1:18" x14ac:dyDescent="0.25">
      <c r="A110" s="330">
        <f t="shared" si="21"/>
        <v>104</v>
      </c>
      <c r="B110" s="349" t="s">
        <v>335</v>
      </c>
      <c r="C110" s="379">
        <v>1</v>
      </c>
      <c r="D110" s="336">
        <f t="shared" si="35"/>
        <v>1278.768</v>
      </c>
      <c r="E110" s="336">
        <f t="shared" si="35"/>
        <v>1300</v>
      </c>
      <c r="F110" s="336">
        <f t="shared" si="35"/>
        <v>1332.4999999999998</v>
      </c>
      <c r="G110" s="336">
        <f t="shared" si="35"/>
        <v>1365.8124999999995</v>
      </c>
      <c r="H110" s="336">
        <f t="shared" si="35"/>
        <v>1399.9578124999994</v>
      </c>
      <c r="I110" s="336">
        <f t="shared" si="35"/>
        <v>1434.9567578124993</v>
      </c>
      <c r="J110" s="336">
        <f t="shared" si="35"/>
        <v>2903</v>
      </c>
      <c r="K110" s="336">
        <f t="shared" si="35"/>
        <v>3000</v>
      </c>
      <c r="L110" s="336">
        <f t="shared" si="35"/>
        <v>3074.9999999999995</v>
      </c>
      <c r="M110" s="336">
        <f t="shared" si="35"/>
        <v>3151.8749999999991</v>
      </c>
      <c r="N110" s="336">
        <f t="shared" si="35"/>
        <v>3230.6718749999986</v>
      </c>
      <c r="O110" s="336">
        <f t="shared" si="35"/>
        <v>3311.4386718749984</v>
      </c>
      <c r="P110" s="336">
        <f t="shared" si="35"/>
        <v>3394.224638671873</v>
      </c>
      <c r="Q110" s="336">
        <f t="shared" si="35"/>
        <v>3479.0802546386694</v>
      </c>
      <c r="R110" s="330">
        <f t="shared" si="24"/>
        <v>104</v>
      </c>
    </row>
    <row r="111" spans="1:18" x14ac:dyDescent="0.25">
      <c r="A111" s="330">
        <f t="shared" si="21"/>
        <v>105</v>
      </c>
      <c r="B111" s="364" t="s">
        <v>12</v>
      </c>
      <c r="C111" s="379">
        <v>0</v>
      </c>
      <c r="D111" s="336">
        <f t="shared" ref="D111:Q126" si="36">D48*$C111</f>
        <v>0</v>
      </c>
      <c r="E111" s="336">
        <f t="shared" si="36"/>
        <v>0</v>
      </c>
      <c r="F111" s="336">
        <f t="shared" si="36"/>
        <v>0</v>
      </c>
      <c r="G111" s="336">
        <f t="shared" si="36"/>
        <v>0</v>
      </c>
      <c r="H111" s="336">
        <f t="shared" si="36"/>
        <v>0</v>
      </c>
      <c r="I111" s="336">
        <f t="shared" si="36"/>
        <v>0</v>
      </c>
      <c r="J111" s="336">
        <f t="shared" si="36"/>
        <v>0</v>
      </c>
      <c r="K111" s="336">
        <f t="shared" si="36"/>
        <v>0</v>
      </c>
      <c r="L111" s="336">
        <f t="shared" si="36"/>
        <v>0</v>
      </c>
      <c r="M111" s="336">
        <f t="shared" si="36"/>
        <v>0</v>
      </c>
      <c r="N111" s="336">
        <f t="shared" si="36"/>
        <v>0</v>
      </c>
      <c r="O111" s="336">
        <f t="shared" si="36"/>
        <v>0</v>
      </c>
      <c r="P111" s="336">
        <f t="shared" si="36"/>
        <v>0</v>
      </c>
      <c r="Q111" s="336">
        <f t="shared" si="36"/>
        <v>0</v>
      </c>
      <c r="R111" s="330">
        <f t="shared" si="24"/>
        <v>105</v>
      </c>
    </row>
    <row r="112" spans="1:18" x14ac:dyDescent="0.25">
      <c r="A112" s="330">
        <f t="shared" si="21"/>
        <v>106</v>
      </c>
      <c r="B112" s="364" t="s">
        <v>337</v>
      </c>
      <c r="C112" s="379">
        <v>1</v>
      </c>
      <c r="D112" s="336">
        <f t="shared" si="36"/>
        <v>542.29200000000003</v>
      </c>
      <c r="E112" s="336">
        <f t="shared" si="36"/>
        <v>0</v>
      </c>
      <c r="F112" s="336">
        <f t="shared" si="36"/>
        <v>0</v>
      </c>
      <c r="G112" s="336">
        <f t="shared" si="36"/>
        <v>0</v>
      </c>
      <c r="H112" s="336">
        <f t="shared" si="36"/>
        <v>0</v>
      </c>
      <c r="I112" s="336">
        <f t="shared" si="36"/>
        <v>0</v>
      </c>
      <c r="J112" s="336">
        <f t="shared" si="36"/>
        <v>0</v>
      </c>
      <c r="K112" s="336">
        <f t="shared" si="36"/>
        <v>0</v>
      </c>
      <c r="L112" s="336">
        <f t="shared" si="36"/>
        <v>0</v>
      </c>
      <c r="M112" s="336">
        <f t="shared" si="36"/>
        <v>0</v>
      </c>
      <c r="N112" s="336">
        <f t="shared" si="36"/>
        <v>0</v>
      </c>
      <c r="O112" s="336">
        <f t="shared" si="36"/>
        <v>0</v>
      </c>
      <c r="P112" s="336">
        <f t="shared" si="36"/>
        <v>0</v>
      </c>
      <c r="Q112" s="336">
        <f t="shared" si="36"/>
        <v>0</v>
      </c>
      <c r="R112" s="330">
        <f t="shared" si="24"/>
        <v>106</v>
      </c>
    </row>
    <row r="113" spans="1:18" x14ac:dyDescent="0.25">
      <c r="A113" s="330">
        <f t="shared" si="21"/>
        <v>107</v>
      </c>
      <c r="B113" s="349" t="s">
        <v>338</v>
      </c>
      <c r="C113" s="379">
        <v>0</v>
      </c>
      <c r="D113" s="336">
        <f t="shared" si="36"/>
        <v>0</v>
      </c>
      <c r="E113" s="336">
        <f t="shared" si="36"/>
        <v>0</v>
      </c>
      <c r="F113" s="336">
        <f t="shared" si="36"/>
        <v>0</v>
      </c>
      <c r="G113" s="336">
        <f t="shared" si="36"/>
        <v>0</v>
      </c>
      <c r="H113" s="336">
        <f t="shared" si="36"/>
        <v>0</v>
      </c>
      <c r="I113" s="336">
        <f t="shared" si="36"/>
        <v>0</v>
      </c>
      <c r="J113" s="336">
        <f t="shared" si="36"/>
        <v>0</v>
      </c>
      <c r="K113" s="336">
        <f t="shared" si="36"/>
        <v>0</v>
      </c>
      <c r="L113" s="336">
        <f t="shared" si="36"/>
        <v>0</v>
      </c>
      <c r="M113" s="336">
        <f t="shared" si="36"/>
        <v>0</v>
      </c>
      <c r="N113" s="336">
        <f t="shared" si="36"/>
        <v>0</v>
      </c>
      <c r="O113" s="336">
        <f t="shared" si="36"/>
        <v>0</v>
      </c>
      <c r="P113" s="336">
        <f t="shared" si="36"/>
        <v>0</v>
      </c>
      <c r="Q113" s="336">
        <f t="shared" si="36"/>
        <v>0</v>
      </c>
      <c r="R113" s="330">
        <f t="shared" si="24"/>
        <v>107</v>
      </c>
    </row>
    <row r="114" spans="1:18" x14ac:dyDescent="0.25">
      <c r="A114" s="330">
        <f t="shared" si="21"/>
        <v>108</v>
      </c>
      <c r="B114" s="349" t="s">
        <v>13</v>
      </c>
      <c r="C114" s="379">
        <v>0</v>
      </c>
      <c r="D114" s="336">
        <f t="shared" si="36"/>
        <v>0</v>
      </c>
      <c r="E114" s="336">
        <f t="shared" si="36"/>
        <v>0</v>
      </c>
      <c r="F114" s="336">
        <f t="shared" si="36"/>
        <v>0</v>
      </c>
      <c r="G114" s="336">
        <f t="shared" si="36"/>
        <v>0</v>
      </c>
      <c r="H114" s="336">
        <f t="shared" si="36"/>
        <v>0</v>
      </c>
      <c r="I114" s="336">
        <f t="shared" si="36"/>
        <v>0</v>
      </c>
      <c r="J114" s="336">
        <f t="shared" si="36"/>
        <v>0</v>
      </c>
      <c r="K114" s="336">
        <f t="shared" si="36"/>
        <v>0</v>
      </c>
      <c r="L114" s="336">
        <f t="shared" si="36"/>
        <v>0</v>
      </c>
      <c r="M114" s="336">
        <f t="shared" si="36"/>
        <v>0</v>
      </c>
      <c r="N114" s="336">
        <f t="shared" si="36"/>
        <v>0</v>
      </c>
      <c r="O114" s="336">
        <f t="shared" si="36"/>
        <v>0</v>
      </c>
      <c r="P114" s="336">
        <f t="shared" si="36"/>
        <v>0</v>
      </c>
      <c r="Q114" s="336">
        <f t="shared" si="36"/>
        <v>0</v>
      </c>
      <c r="R114" s="330">
        <f t="shared" si="24"/>
        <v>108</v>
      </c>
    </row>
    <row r="115" spans="1:18" x14ac:dyDescent="0.25">
      <c r="A115" s="330">
        <f t="shared" si="21"/>
        <v>109</v>
      </c>
      <c r="B115" s="349" t="s">
        <v>14</v>
      </c>
      <c r="C115" s="379">
        <v>1</v>
      </c>
      <c r="D115" s="336">
        <f t="shared" si="36"/>
        <v>13083.084000000001</v>
      </c>
      <c r="E115" s="336">
        <f t="shared" si="36"/>
        <v>16000</v>
      </c>
      <c r="F115" s="336">
        <f t="shared" si="36"/>
        <v>16400</v>
      </c>
      <c r="G115" s="336">
        <f t="shared" si="36"/>
        <v>16810</v>
      </c>
      <c r="H115" s="336">
        <f t="shared" si="36"/>
        <v>17230.25</v>
      </c>
      <c r="I115" s="336">
        <f t="shared" si="36"/>
        <v>17661.006249999999</v>
      </c>
      <c r="J115" s="336">
        <f t="shared" si="36"/>
        <v>15000</v>
      </c>
      <c r="K115" s="336">
        <f t="shared" si="36"/>
        <v>10000</v>
      </c>
      <c r="L115" s="336">
        <f t="shared" si="36"/>
        <v>10250</v>
      </c>
      <c r="M115" s="336">
        <f t="shared" si="36"/>
        <v>10506.249999999998</v>
      </c>
      <c r="N115" s="336">
        <f t="shared" si="36"/>
        <v>10768.906249999996</v>
      </c>
      <c r="O115" s="336">
        <f t="shared" si="36"/>
        <v>11038.128906249995</v>
      </c>
      <c r="P115" s="336">
        <f t="shared" si="36"/>
        <v>11314.082128906244</v>
      </c>
      <c r="Q115" s="336">
        <f t="shared" si="36"/>
        <v>11596.9341821289</v>
      </c>
      <c r="R115" s="330">
        <f t="shared" si="24"/>
        <v>109</v>
      </c>
    </row>
    <row r="116" spans="1:18" x14ac:dyDescent="0.25">
      <c r="A116" s="330">
        <f t="shared" si="21"/>
        <v>110</v>
      </c>
      <c r="B116" s="349" t="s">
        <v>15</v>
      </c>
      <c r="C116" s="379">
        <v>0</v>
      </c>
      <c r="D116" s="336">
        <f t="shared" si="36"/>
        <v>0</v>
      </c>
      <c r="E116" s="336">
        <f t="shared" si="36"/>
        <v>0</v>
      </c>
      <c r="F116" s="336">
        <f t="shared" si="36"/>
        <v>0</v>
      </c>
      <c r="G116" s="336">
        <f t="shared" si="36"/>
        <v>0</v>
      </c>
      <c r="H116" s="336">
        <f t="shared" si="36"/>
        <v>0</v>
      </c>
      <c r="I116" s="336">
        <f t="shared" si="36"/>
        <v>0</v>
      </c>
      <c r="J116" s="336">
        <f t="shared" si="36"/>
        <v>0</v>
      </c>
      <c r="K116" s="336">
        <f t="shared" si="36"/>
        <v>0</v>
      </c>
      <c r="L116" s="336">
        <f t="shared" si="36"/>
        <v>0</v>
      </c>
      <c r="M116" s="336">
        <f t="shared" si="36"/>
        <v>0</v>
      </c>
      <c r="N116" s="336">
        <f t="shared" si="36"/>
        <v>0</v>
      </c>
      <c r="O116" s="336">
        <f t="shared" si="36"/>
        <v>0</v>
      </c>
      <c r="P116" s="336">
        <f t="shared" si="36"/>
        <v>0</v>
      </c>
      <c r="Q116" s="336">
        <f t="shared" si="36"/>
        <v>0</v>
      </c>
      <c r="R116" s="330">
        <f t="shared" si="24"/>
        <v>110</v>
      </c>
    </row>
    <row r="117" spans="1:18" x14ac:dyDescent="0.25">
      <c r="A117" s="330">
        <f t="shared" si="21"/>
        <v>111</v>
      </c>
      <c r="B117" s="349" t="s">
        <v>339</v>
      </c>
      <c r="C117" s="379">
        <v>1</v>
      </c>
      <c r="D117" s="336">
        <f t="shared" si="36"/>
        <v>0</v>
      </c>
      <c r="E117" s="336">
        <f t="shared" si="36"/>
        <v>0</v>
      </c>
      <c r="F117" s="336">
        <f t="shared" si="36"/>
        <v>0</v>
      </c>
      <c r="G117" s="336">
        <f t="shared" si="36"/>
        <v>0</v>
      </c>
      <c r="H117" s="336">
        <f t="shared" si="36"/>
        <v>0</v>
      </c>
      <c r="I117" s="336">
        <f t="shared" si="36"/>
        <v>0</v>
      </c>
      <c r="J117" s="336">
        <f t="shared" si="36"/>
        <v>0</v>
      </c>
      <c r="K117" s="336">
        <f t="shared" si="36"/>
        <v>0</v>
      </c>
      <c r="L117" s="336">
        <f t="shared" si="36"/>
        <v>0</v>
      </c>
      <c r="M117" s="336">
        <f t="shared" si="36"/>
        <v>0</v>
      </c>
      <c r="N117" s="336">
        <f t="shared" si="36"/>
        <v>0</v>
      </c>
      <c r="O117" s="336">
        <f t="shared" si="36"/>
        <v>0</v>
      </c>
      <c r="P117" s="336">
        <f t="shared" si="36"/>
        <v>0</v>
      </c>
      <c r="Q117" s="336">
        <f t="shared" si="36"/>
        <v>0</v>
      </c>
      <c r="R117" s="330">
        <f t="shared" si="24"/>
        <v>111</v>
      </c>
    </row>
    <row r="118" spans="1:18" x14ac:dyDescent="0.25">
      <c r="A118" s="330">
        <f t="shared" si="21"/>
        <v>112</v>
      </c>
      <c r="B118" s="349" t="s">
        <v>16</v>
      </c>
      <c r="C118" s="379">
        <v>1</v>
      </c>
      <c r="D118" s="336">
        <f t="shared" si="36"/>
        <v>7666.7999999999993</v>
      </c>
      <c r="E118" s="336">
        <f t="shared" si="36"/>
        <v>7700</v>
      </c>
      <c r="F118" s="336">
        <f t="shared" si="36"/>
        <v>7892.4999999999991</v>
      </c>
      <c r="G118" s="336">
        <f t="shared" si="36"/>
        <v>8089.8124999999982</v>
      </c>
      <c r="H118" s="336">
        <f t="shared" si="36"/>
        <v>8292.0578124999975</v>
      </c>
      <c r="I118" s="336">
        <f t="shared" si="36"/>
        <v>8499.3592578124972</v>
      </c>
      <c r="J118" s="336">
        <f t="shared" si="36"/>
        <v>9800</v>
      </c>
      <c r="K118" s="336">
        <f t="shared" si="36"/>
        <v>9000</v>
      </c>
      <c r="L118" s="336">
        <f t="shared" si="36"/>
        <v>9225</v>
      </c>
      <c r="M118" s="336">
        <f t="shared" si="36"/>
        <v>9455.625</v>
      </c>
      <c r="N118" s="336">
        <f t="shared" si="36"/>
        <v>9692.015625</v>
      </c>
      <c r="O118" s="336">
        <f t="shared" si="36"/>
        <v>9934.3160156249996</v>
      </c>
      <c r="P118" s="336">
        <f t="shared" si="36"/>
        <v>10182.673916015623</v>
      </c>
      <c r="Q118" s="336">
        <f t="shared" si="36"/>
        <v>10437.240763916012</v>
      </c>
      <c r="R118" s="330">
        <f t="shared" si="24"/>
        <v>112</v>
      </c>
    </row>
    <row r="119" spans="1:18" x14ac:dyDescent="0.25">
      <c r="A119" s="330">
        <f t="shared" si="21"/>
        <v>113</v>
      </c>
      <c r="B119" s="349" t="s">
        <v>17</v>
      </c>
      <c r="C119" s="379">
        <v>1</v>
      </c>
      <c r="D119" s="336">
        <f t="shared" si="36"/>
        <v>3871.0800000000004</v>
      </c>
      <c r="E119" s="336">
        <f t="shared" si="36"/>
        <v>4158</v>
      </c>
      <c r="F119" s="336">
        <f t="shared" si="36"/>
        <v>4261.95</v>
      </c>
      <c r="G119" s="336">
        <f t="shared" si="36"/>
        <v>4368.4987499999997</v>
      </c>
      <c r="H119" s="336">
        <f t="shared" si="36"/>
        <v>4477.7112187499997</v>
      </c>
      <c r="I119" s="336">
        <f t="shared" si="36"/>
        <v>4589.653999218749</v>
      </c>
      <c r="J119" s="336">
        <f t="shared" si="36"/>
        <v>3900</v>
      </c>
      <c r="K119" s="336">
        <f t="shared" si="36"/>
        <v>3900</v>
      </c>
      <c r="L119" s="336">
        <f t="shared" si="36"/>
        <v>3997.4999999999995</v>
      </c>
      <c r="M119" s="336">
        <f t="shared" si="36"/>
        <v>4097.4374999999991</v>
      </c>
      <c r="N119" s="336">
        <f t="shared" si="36"/>
        <v>4199.8734374999985</v>
      </c>
      <c r="O119" s="336">
        <f t="shared" si="36"/>
        <v>4304.8702734374983</v>
      </c>
      <c r="P119" s="336">
        <f t="shared" si="36"/>
        <v>4412.4920302734354</v>
      </c>
      <c r="Q119" s="336">
        <f t="shared" si="36"/>
        <v>4522.804331030271</v>
      </c>
      <c r="R119" s="330">
        <f t="shared" si="24"/>
        <v>113</v>
      </c>
    </row>
    <row r="120" spans="1:18" x14ac:dyDescent="0.25">
      <c r="A120" s="330">
        <f t="shared" si="21"/>
        <v>114</v>
      </c>
      <c r="B120" s="349" t="s">
        <v>18</v>
      </c>
      <c r="C120" s="379">
        <v>1</v>
      </c>
      <c r="D120" s="336">
        <f t="shared" si="36"/>
        <v>2209.1640000000002</v>
      </c>
      <c r="E120" s="336">
        <f t="shared" si="36"/>
        <v>4500</v>
      </c>
      <c r="F120" s="336">
        <f t="shared" si="36"/>
        <v>4612.5</v>
      </c>
      <c r="G120" s="336">
        <f t="shared" si="36"/>
        <v>4727.8125</v>
      </c>
      <c r="H120" s="336">
        <f t="shared" si="36"/>
        <v>4846.0078125</v>
      </c>
      <c r="I120" s="336">
        <f t="shared" si="36"/>
        <v>4967.1580078124998</v>
      </c>
      <c r="J120" s="336">
        <f t="shared" si="36"/>
        <v>3000</v>
      </c>
      <c r="K120" s="336">
        <f t="shared" si="36"/>
        <v>2000</v>
      </c>
      <c r="L120" s="336">
        <f t="shared" si="36"/>
        <v>2050</v>
      </c>
      <c r="M120" s="336">
        <f t="shared" si="36"/>
        <v>2101.25</v>
      </c>
      <c r="N120" s="336">
        <f t="shared" si="36"/>
        <v>2153.78125</v>
      </c>
      <c r="O120" s="336">
        <f t="shared" si="36"/>
        <v>2207.6257812499998</v>
      </c>
      <c r="P120" s="336">
        <f t="shared" si="36"/>
        <v>2262.8164257812496</v>
      </c>
      <c r="Q120" s="336">
        <f t="shared" si="36"/>
        <v>2319.3868364257805</v>
      </c>
      <c r="R120" s="330">
        <f t="shared" si="24"/>
        <v>114</v>
      </c>
    </row>
    <row r="121" spans="1:18" x14ac:dyDescent="0.25">
      <c r="A121" s="330">
        <f t="shared" si="21"/>
        <v>115</v>
      </c>
      <c r="B121" s="349" t="s">
        <v>340</v>
      </c>
      <c r="C121" s="379">
        <v>1</v>
      </c>
      <c r="D121" s="336">
        <f t="shared" si="36"/>
        <v>9643.2000000000007</v>
      </c>
      <c r="E121" s="336">
        <f t="shared" si="36"/>
        <v>9650</v>
      </c>
      <c r="F121" s="336">
        <f t="shared" si="36"/>
        <v>9891.25</v>
      </c>
      <c r="G121" s="336">
        <f t="shared" si="36"/>
        <v>10138.53125</v>
      </c>
      <c r="H121" s="336">
        <f t="shared" si="36"/>
        <v>10391.994531249999</v>
      </c>
      <c r="I121" s="336">
        <f t="shared" si="36"/>
        <v>10651.794394531247</v>
      </c>
      <c r="J121" s="336">
        <f t="shared" si="36"/>
        <v>12000</v>
      </c>
      <c r="K121" s="336">
        <f t="shared" si="36"/>
        <v>10000</v>
      </c>
      <c r="L121" s="336">
        <f t="shared" si="36"/>
        <v>10250</v>
      </c>
      <c r="M121" s="336">
        <f t="shared" si="36"/>
        <v>10506.249999999998</v>
      </c>
      <c r="N121" s="336">
        <f t="shared" si="36"/>
        <v>10768.906249999996</v>
      </c>
      <c r="O121" s="336">
        <f t="shared" si="36"/>
        <v>11038.128906249995</v>
      </c>
      <c r="P121" s="336">
        <f t="shared" si="36"/>
        <v>11314.082128906244</v>
      </c>
      <c r="Q121" s="336">
        <f t="shared" si="36"/>
        <v>11596.9341821289</v>
      </c>
      <c r="R121" s="330">
        <f t="shared" si="24"/>
        <v>115</v>
      </c>
    </row>
    <row r="122" spans="1:18" x14ac:dyDescent="0.25">
      <c r="A122" s="330">
        <f t="shared" si="21"/>
        <v>116</v>
      </c>
      <c r="B122" s="349" t="s">
        <v>19</v>
      </c>
      <c r="C122" s="379">
        <v>1</v>
      </c>
      <c r="D122" s="336">
        <f t="shared" si="36"/>
        <v>5612.0519999999997</v>
      </c>
      <c r="E122" s="336">
        <f t="shared" si="36"/>
        <v>5600</v>
      </c>
      <c r="F122" s="336">
        <f t="shared" si="36"/>
        <v>5739.9999999999991</v>
      </c>
      <c r="G122" s="336">
        <f t="shared" si="36"/>
        <v>5883.4999999999982</v>
      </c>
      <c r="H122" s="336">
        <f t="shared" si="36"/>
        <v>6030.5874999999978</v>
      </c>
      <c r="I122" s="336">
        <f t="shared" si="36"/>
        <v>6181.3521874999969</v>
      </c>
      <c r="J122" s="336">
        <f t="shared" si="36"/>
        <v>9593</v>
      </c>
      <c r="K122" s="336">
        <f t="shared" si="36"/>
        <v>7000</v>
      </c>
      <c r="L122" s="336">
        <f t="shared" si="36"/>
        <v>7174.9999999999991</v>
      </c>
      <c r="M122" s="336">
        <f t="shared" si="36"/>
        <v>7354.3749999999982</v>
      </c>
      <c r="N122" s="336">
        <f t="shared" si="36"/>
        <v>7538.2343749999973</v>
      </c>
      <c r="O122" s="336">
        <f t="shared" si="36"/>
        <v>7726.6902343749962</v>
      </c>
      <c r="P122" s="336">
        <f t="shared" si="36"/>
        <v>7919.8574902343707</v>
      </c>
      <c r="Q122" s="336">
        <f t="shared" si="36"/>
        <v>8117.8539274902296</v>
      </c>
      <c r="R122" s="330">
        <f t="shared" si="24"/>
        <v>116</v>
      </c>
    </row>
    <row r="123" spans="1:18" x14ac:dyDescent="0.25">
      <c r="A123" s="330">
        <f t="shared" si="21"/>
        <v>117</v>
      </c>
      <c r="B123" s="349" t="s">
        <v>20</v>
      </c>
      <c r="C123" s="379">
        <v>1</v>
      </c>
      <c r="D123" s="336">
        <f t="shared" si="36"/>
        <v>600</v>
      </c>
      <c r="E123" s="336">
        <f t="shared" si="36"/>
        <v>1200</v>
      </c>
      <c r="F123" s="336">
        <f t="shared" si="36"/>
        <v>1230</v>
      </c>
      <c r="G123" s="336">
        <f t="shared" si="36"/>
        <v>1260.75</v>
      </c>
      <c r="H123" s="336">
        <f t="shared" si="36"/>
        <v>1292.26875</v>
      </c>
      <c r="I123" s="336">
        <f t="shared" si="36"/>
        <v>1324.5754687499998</v>
      </c>
      <c r="J123" s="336">
        <f t="shared" si="36"/>
        <v>1500</v>
      </c>
      <c r="K123" s="336">
        <f t="shared" si="36"/>
        <v>1500</v>
      </c>
      <c r="L123" s="336">
        <f t="shared" si="36"/>
        <v>1537.4999999999998</v>
      </c>
      <c r="M123" s="336">
        <f t="shared" si="36"/>
        <v>1575.9374999999995</v>
      </c>
      <c r="N123" s="336">
        <f t="shared" si="36"/>
        <v>1615.3359374999993</v>
      </c>
      <c r="O123" s="336">
        <f t="shared" si="36"/>
        <v>1655.7193359374992</v>
      </c>
      <c r="P123" s="336">
        <f t="shared" si="36"/>
        <v>1697.1123193359365</v>
      </c>
      <c r="Q123" s="336">
        <f t="shared" si="36"/>
        <v>1739.5401273193347</v>
      </c>
      <c r="R123" s="330">
        <f t="shared" si="24"/>
        <v>117</v>
      </c>
    </row>
    <row r="124" spans="1:18" x14ac:dyDescent="0.25">
      <c r="A124" s="330">
        <f t="shared" si="21"/>
        <v>118</v>
      </c>
      <c r="B124" s="349" t="s">
        <v>21</v>
      </c>
      <c r="C124" s="379">
        <v>1</v>
      </c>
      <c r="D124" s="336">
        <f t="shared" si="36"/>
        <v>3442.3319999999999</v>
      </c>
      <c r="E124" s="336">
        <f t="shared" si="36"/>
        <v>3500</v>
      </c>
      <c r="F124" s="336">
        <f t="shared" si="36"/>
        <v>3587.4999999999995</v>
      </c>
      <c r="G124" s="336">
        <f t="shared" si="36"/>
        <v>3677.1874999999991</v>
      </c>
      <c r="H124" s="336">
        <f t="shared" si="36"/>
        <v>3769.1171874999986</v>
      </c>
      <c r="I124" s="336">
        <f t="shared" si="36"/>
        <v>3863.3451171874981</v>
      </c>
      <c r="J124" s="336">
        <f t="shared" si="36"/>
        <v>1963</v>
      </c>
      <c r="K124" s="336">
        <f t="shared" si="36"/>
        <v>2600</v>
      </c>
      <c r="L124" s="336">
        <f t="shared" si="36"/>
        <v>2664.9999999999995</v>
      </c>
      <c r="M124" s="336">
        <f t="shared" si="36"/>
        <v>2731.6249999999991</v>
      </c>
      <c r="N124" s="336">
        <f t="shared" si="36"/>
        <v>2799.9156249999987</v>
      </c>
      <c r="O124" s="336">
        <f t="shared" si="36"/>
        <v>2869.9135156249986</v>
      </c>
      <c r="P124" s="336">
        <f t="shared" si="36"/>
        <v>2941.6613535156234</v>
      </c>
      <c r="Q124" s="336">
        <f t="shared" si="36"/>
        <v>3015.2028873535137</v>
      </c>
      <c r="R124" s="330">
        <f t="shared" si="24"/>
        <v>118</v>
      </c>
    </row>
    <row r="125" spans="1:18" x14ac:dyDescent="0.25">
      <c r="A125" s="330">
        <f t="shared" si="21"/>
        <v>119</v>
      </c>
      <c r="B125" s="359" t="s">
        <v>22</v>
      </c>
      <c r="C125" s="379">
        <v>0.5</v>
      </c>
      <c r="D125" s="336">
        <f t="shared" si="36"/>
        <v>3460.1880000000001</v>
      </c>
      <c r="E125" s="336">
        <f t="shared" si="36"/>
        <v>3475</v>
      </c>
      <c r="F125" s="336">
        <f t="shared" si="36"/>
        <v>3561.8749999999995</v>
      </c>
      <c r="G125" s="336">
        <f t="shared" si="36"/>
        <v>3650.9218749999991</v>
      </c>
      <c r="H125" s="336">
        <f t="shared" si="36"/>
        <v>3742.1949218749987</v>
      </c>
      <c r="I125" s="336">
        <f t="shared" si="36"/>
        <v>3835.7497949218732</v>
      </c>
      <c r="J125" s="336">
        <f t="shared" si="36"/>
        <v>1990.5</v>
      </c>
      <c r="K125" s="336">
        <f t="shared" si="36"/>
        <v>3025</v>
      </c>
      <c r="L125" s="336">
        <f t="shared" si="36"/>
        <v>3100.6249999999995</v>
      </c>
      <c r="M125" s="336">
        <f t="shared" si="36"/>
        <v>3178.1406249999991</v>
      </c>
      <c r="N125" s="336">
        <f t="shared" si="36"/>
        <v>3257.594140624999</v>
      </c>
      <c r="O125" s="336">
        <f t="shared" si="36"/>
        <v>3339.0339941406237</v>
      </c>
      <c r="P125" s="336">
        <f t="shared" si="36"/>
        <v>3422.5098439941389</v>
      </c>
      <c r="Q125" s="336">
        <f t="shared" si="36"/>
        <v>3508.0725900939919</v>
      </c>
      <c r="R125" s="330">
        <f t="shared" si="24"/>
        <v>119</v>
      </c>
    </row>
    <row r="126" spans="1:18" x14ac:dyDescent="0.25">
      <c r="A126" s="330">
        <f t="shared" si="21"/>
        <v>120</v>
      </c>
      <c r="B126" s="359" t="s">
        <v>341</v>
      </c>
      <c r="C126" s="379">
        <v>1</v>
      </c>
      <c r="D126" s="336">
        <f t="shared" si="36"/>
        <v>758.6880000000001</v>
      </c>
      <c r="E126" s="336">
        <f t="shared" si="36"/>
        <v>0</v>
      </c>
      <c r="F126" s="336">
        <f t="shared" si="36"/>
        <v>0</v>
      </c>
      <c r="G126" s="336">
        <f t="shared" si="36"/>
        <v>0</v>
      </c>
      <c r="H126" s="336">
        <f t="shared" si="36"/>
        <v>0</v>
      </c>
      <c r="I126" s="336">
        <f t="shared" si="36"/>
        <v>0</v>
      </c>
      <c r="J126" s="336">
        <f t="shared" si="36"/>
        <v>0</v>
      </c>
      <c r="K126" s="336">
        <f t="shared" si="36"/>
        <v>600</v>
      </c>
      <c r="L126" s="336">
        <f t="shared" si="36"/>
        <v>615</v>
      </c>
      <c r="M126" s="336">
        <f t="shared" si="36"/>
        <v>630.375</v>
      </c>
      <c r="N126" s="336">
        <f t="shared" si="36"/>
        <v>646.13437499999998</v>
      </c>
      <c r="O126" s="336">
        <f t="shared" si="36"/>
        <v>662.2877343749999</v>
      </c>
      <c r="P126" s="336">
        <f t="shared" si="36"/>
        <v>678.84492773437489</v>
      </c>
      <c r="Q126" s="336">
        <f t="shared" si="36"/>
        <v>695.81605092773418</v>
      </c>
      <c r="R126" s="330">
        <f t="shared" si="24"/>
        <v>120</v>
      </c>
    </row>
    <row r="127" spans="1:18" x14ac:dyDescent="0.25">
      <c r="A127" s="330">
        <f t="shared" si="21"/>
        <v>121</v>
      </c>
      <c r="B127" s="349" t="s">
        <v>342</v>
      </c>
      <c r="C127" s="379">
        <v>1</v>
      </c>
      <c r="D127" s="336">
        <f t="shared" ref="D127:Q129" si="37">D64*$C127</f>
        <v>0</v>
      </c>
      <c r="E127" s="336">
        <f t="shared" si="37"/>
        <v>16623</v>
      </c>
      <c r="F127" s="336">
        <f t="shared" si="37"/>
        <v>17038.574999999997</v>
      </c>
      <c r="G127" s="336">
        <f t="shared" si="37"/>
        <v>17464.539374999997</v>
      </c>
      <c r="H127" s="336">
        <f t="shared" si="37"/>
        <v>17901.152859374994</v>
      </c>
      <c r="I127" s="336">
        <f t="shared" si="37"/>
        <v>18348.681680859368</v>
      </c>
      <c r="J127" s="336">
        <f t="shared" si="37"/>
        <v>17000</v>
      </c>
      <c r="K127" s="336">
        <f t="shared" si="37"/>
        <v>18900</v>
      </c>
      <c r="L127" s="336">
        <f t="shared" si="37"/>
        <v>19372.5</v>
      </c>
      <c r="M127" s="336">
        <f t="shared" si="37"/>
        <v>19856.8125</v>
      </c>
      <c r="N127" s="336">
        <f t="shared" si="37"/>
        <v>20353.232812499999</v>
      </c>
      <c r="O127" s="336">
        <f t="shared" si="37"/>
        <v>20862.063632812497</v>
      </c>
      <c r="P127" s="336">
        <f t="shared" si="37"/>
        <v>21383.615223632805</v>
      </c>
      <c r="Q127" s="336">
        <f t="shared" si="37"/>
        <v>21918.205604223622</v>
      </c>
      <c r="R127" s="330">
        <f t="shared" si="24"/>
        <v>121</v>
      </c>
    </row>
    <row r="128" spans="1:18" x14ac:dyDescent="0.25">
      <c r="A128" s="330">
        <f t="shared" si="21"/>
        <v>122</v>
      </c>
      <c r="B128" s="349" t="s">
        <v>343</v>
      </c>
      <c r="C128" s="379">
        <v>1</v>
      </c>
      <c r="D128" s="336">
        <f t="shared" si="37"/>
        <v>0</v>
      </c>
      <c r="E128" s="336">
        <f t="shared" si="37"/>
        <v>0</v>
      </c>
      <c r="F128" s="336">
        <f t="shared" si="37"/>
        <v>0</v>
      </c>
      <c r="G128" s="336">
        <f t="shared" si="37"/>
        <v>0</v>
      </c>
      <c r="H128" s="336">
        <f t="shared" si="37"/>
        <v>0</v>
      </c>
      <c r="I128" s="336">
        <f t="shared" si="37"/>
        <v>0</v>
      </c>
      <c r="J128" s="336">
        <f t="shared" si="37"/>
        <v>0</v>
      </c>
      <c r="K128" s="336">
        <f t="shared" si="37"/>
        <v>0</v>
      </c>
      <c r="L128" s="336">
        <f t="shared" si="37"/>
        <v>0</v>
      </c>
      <c r="M128" s="336">
        <f t="shared" si="37"/>
        <v>0</v>
      </c>
      <c r="N128" s="336">
        <f t="shared" si="37"/>
        <v>0</v>
      </c>
      <c r="O128" s="336">
        <f t="shared" si="37"/>
        <v>0</v>
      </c>
      <c r="P128" s="336">
        <f t="shared" si="37"/>
        <v>0</v>
      </c>
      <c r="Q128" s="336">
        <f t="shared" si="37"/>
        <v>0</v>
      </c>
      <c r="R128" s="330">
        <f t="shared" si="24"/>
        <v>122</v>
      </c>
    </row>
    <row r="129" spans="1:18" x14ac:dyDescent="0.25">
      <c r="A129" s="330">
        <f t="shared" si="21"/>
        <v>123</v>
      </c>
      <c r="B129" s="349" t="s">
        <v>23</v>
      </c>
      <c r="C129" s="379">
        <v>1</v>
      </c>
      <c r="D129" s="336">
        <f t="shared" si="37"/>
        <v>83.135999999999996</v>
      </c>
      <c r="E129" s="336">
        <f t="shared" si="37"/>
        <v>500</v>
      </c>
      <c r="F129" s="336">
        <f t="shared" si="37"/>
        <v>512.5</v>
      </c>
      <c r="G129" s="336">
        <f t="shared" si="37"/>
        <v>525.3125</v>
      </c>
      <c r="H129" s="336">
        <f t="shared" si="37"/>
        <v>538.4453125</v>
      </c>
      <c r="I129" s="336">
        <f t="shared" si="37"/>
        <v>551.90644531249995</v>
      </c>
      <c r="J129" s="336">
        <f t="shared" si="37"/>
        <v>0</v>
      </c>
      <c r="K129" s="336">
        <f t="shared" si="37"/>
        <v>0</v>
      </c>
      <c r="L129" s="336">
        <f t="shared" si="37"/>
        <v>0</v>
      </c>
      <c r="M129" s="336">
        <f t="shared" si="37"/>
        <v>0</v>
      </c>
      <c r="N129" s="336">
        <f t="shared" si="37"/>
        <v>0</v>
      </c>
      <c r="O129" s="336">
        <f t="shared" si="37"/>
        <v>0</v>
      </c>
      <c r="P129" s="336">
        <f t="shared" si="37"/>
        <v>0</v>
      </c>
      <c r="Q129" s="336">
        <f t="shared" si="37"/>
        <v>0</v>
      </c>
      <c r="R129" s="330">
        <f t="shared" si="24"/>
        <v>123</v>
      </c>
    </row>
    <row r="130" spans="1:18" x14ac:dyDescent="0.25">
      <c r="A130" s="330">
        <f t="shared" si="21"/>
        <v>124</v>
      </c>
      <c r="B130" s="367" t="s">
        <v>345</v>
      </c>
      <c r="C130" s="381"/>
      <c r="D130" s="342">
        <f t="shared" ref="D130:Q130" si="38">SUM(D109:D129)</f>
        <v>63481.883999999998</v>
      </c>
      <c r="E130" s="342">
        <f t="shared" si="38"/>
        <v>74206</v>
      </c>
      <c r="F130" s="342">
        <f t="shared" si="38"/>
        <v>76061.149999999994</v>
      </c>
      <c r="G130" s="342">
        <f t="shared" si="38"/>
        <v>77962.678749999992</v>
      </c>
      <c r="H130" s="342">
        <f t="shared" si="38"/>
        <v>79911.745718749997</v>
      </c>
      <c r="I130" s="342">
        <f t="shared" si="38"/>
        <v>81909.539361718736</v>
      </c>
      <c r="J130" s="342">
        <f t="shared" si="38"/>
        <v>78649.5</v>
      </c>
      <c r="K130" s="342">
        <f t="shared" si="38"/>
        <v>71525</v>
      </c>
      <c r="L130" s="342">
        <f t="shared" si="38"/>
        <v>73313.125</v>
      </c>
      <c r="M130" s="342">
        <f t="shared" si="38"/>
        <v>75145.953125</v>
      </c>
      <c r="N130" s="342">
        <f t="shared" si="38"/>
        <v>77024.601953124991</v>
      </c>
      <c r="O130" s="342">
        <f t="shared" si="38"/>
        <v>78950.217001953104</v>
      </c>
      <c r="P130" s="342">
        <f t="shared" si="38"/>
        <v>80923.972427001921</v>
      </c>
      <c r="Q130" s="342">
        <f t="shared" si="38"/>
        <v>82947.071737676975</v>
      </c>
      <c r="R130" s="330">
        <f t="shared" si="24"/>
        <v>124</v>
      </c>
    </row>
    <row r="131" spans="1:18" ht="15.75" thickBot="1" x14ac:dyDescent="0.3">
      <c r="A131" s="330">
        <f t="shared" si="21"/>
        <v>125</v>
      </c>
      <c r="B131" s="359"/>
      <c r="C131" s="382"/>
      <c r="D131" s="336"/>
      <c r="E131" s="368"/>
      <c r="F131" s="336"/>
      <c r="G131" s="336"/>
      <c r="H131" s="336"/>
      <c r="I131" s="336"/>
      <c r="J131" s="336"/>
      <c r="K131" s="336"/>
      <c r="L131" s="336"/>
      <c r="M131" s="336"/>
      <c r="N131" s="336"/>
      <c r="O131" s="336"/>
      <c r="P131" s="336"/>
      <c r="Q131" s="336"/>
      <c r="R131" s="330">
        <f t="shared" si="24"/>
        <v>125</v>
      </c>
    </row>
    <row r="132" spans="1:18" x14ac:dyDescent="0.25">
      <c r="A132" s="330">
        <f t="shared" si="21"/>
        <v>126</v>
      </c>
      <c r="B132" s="396" t="s">
        <v>346</v>
      </c>
      <c r="C132" s="397"/>
      <c r="D132" s="397"/>
      <c r="E132" s="398"/>
      <c r="F132" s="397"/>
      <c r="G132" s="397"/>
      <c r="H132" s="397"/>
      <c r="I132" s="397"/>
      <c r="J132" s="397"/>
      <c r="K132" s="397"/>
      <c r="L132" s="397"/>
      <c r="M132" s="397"/>
      <c r="N132" s="397"/>
      <c r="O132" s="397"/>
      <c r="P132" s="397"/>
      <c r="Q132" s="397"/>
      <c r="R132" s="330">
        <f t="shared" si="24"/>
        <v>126</v>
      </c>
    </row>
    <row r="133" spans="1:18" x14ac:dyDescent="0.25">
      <c r="A133" s="330">
        <f t="shared" si="21"/>
        <v>127</v>
      </c>
      <c r="B133" s="349" t="s">
        <v>26</v>
      </c>
      <c r="C133" s="379">
        <v>0</v>
      </c>
      <c r="D133" s="383">
        <f>D72*$C133</f>
        <v>0</v>
      </c>
      <c r="E133" s="383">
        <f t="shared" ref="E133:Q133" si="39">E72*$C133</f>
        <v>0</v>
      </c>
      <c r="F133" s="383">
        <f t="shared" si="39"/>
        <v>0</v>
      </c>
      <c r="G133" s="383">
        <f t="shared" si="39"/>
        <v>0</v>
      </c>
      <c r="H133" s="383">
        <f t="shared" si="39"/>
        <v>0</v>
      </c>
      <c r="I133" s="383">
        <f t="shared" si="39"/>
        <v>0</v>
      </c>
      <c r="J133" s="383">
        <f t="shared" si="39"/>
        <v>0</v>
      </c>
      <c r="K133" s="383">
        <f t="shared" si="39"/>
        <v>0</v>
      </c>
      <c r="L133" s="383">
        <f t="shared" si="39"/>
        <v>0</v>
      </c>
      <c r="M133" s="383">
        <f t="shared" si="39"/>
        <v>0</v>
      </c>
      <c r="N133" s="383">
        <f t="shared" si="39"/>
        <v>0</v>
      </c>
      <c r="O133" s="383">
        <f t="shared" si="39"/>
        <v>0</v>
      </c>
      <c r="P133" s="383">
        <f t="shared" si="39"/>
        <v>0</v>
      </c>
      <c r="Q133" s="383">
        <f t="shared" si="39"/>
        <v>0</v>
      </c>
      <c r="R133" s="330">
        <f t="shared" si="24"/>
        <v>127</v>
      </c>
    </row>
    <row r="134" spans="1:18" x14ac:dyDescent="0.25">
      <c r="A134" s="330">
        <f t="shared" ref="A134:A197" si="40">A133+1</f>
        <v>128</v>
      </c>
      <c r="B134" s="364" t="s">
        <v>27</v>
      </c>
      <c r="C134" s="379">
        <v>1</v>
      </c>
      <c r="D134" s="383">
        <f t="shared" ref="D134:Q137" si="41">D73*$C134</f>
        <v>0</v>
      </c>
      <c r="E134" s="383">
        <f t="shared" si="41"/>
        <v>1000</v>
      </c>
      <c r="F134" s="383">
        <f t="shared" si="41"/>
        <v>1025</v>
      </c>
      <c r="G134" s="383">
        <f t="shared" si="41"/>
        <v>1050.625</v>
      </c>
      <c r="H134" s="383">
        <f t="shared" si="41"/>
        <v>1076.890625</v>
      </c>
      <c r="I134" s="383">
        <f t="shared" si="41"/>
        <v>1103.8128906249999</v>
      </c>
      <c r="J134" s="383">
        <f t="shared" si="41"/>
        <v>18000</v>
      </c>
      <c r="K134" s="383">
        <f t="shared" si="41"/>
        <v>18000</v>
      </c>
      <c r="L134" s="383">
        <f t="shared" si="41"/>
        <v>18450</v>
      </c>
      <c r="M134" s="383">
        <f t="shared" si="41"/>
        <v>18911.25</v>
      </c>
      <c r="N134" s="383">
        <f t="shared" si="41"/>
        <v>19384.03125</v>
      </c>
      <c r="O134" s="383">
        <f t="shared" si="41"/>
        <v>19868.632031249999</v>
      </c>
      <c r="P134" s="383">
        <f t="shared" si="41"/>
        <v>20365.347832031246</v>
      </c>
      <c r="Q134" s="383">
        <f t="shared" si="41"/>
        <v>20874.481527832024</v>
      </c>
      <c r="R134" s="330">
        <f t="shared" si="24"/>
        <v>128</v>
      </c>
    </row>
    <row r="135" spans="1:18" x14ac:dyDescent="0.25">
      <c r="A135" s="330">
        <f t="shared" si="40"/>
        <v>129</v>
      </c>
      <c r="B135" s="349" t="s">
        <v>28</v>
      </c>
      <c r="C135" s="379">
        <v>0</v>
      </c>
      <c r="D135" s="383">
        <f t="shared" si="41"/>
        <v>0</v>
      </c>
      <c r="E135" s="383">
        <f t="shared" si="41"/>
        <v>0</v>
      </c>
      <c r="F135" s="383">
        <f t="shared" si="41"/>
        <v>0</v>
      </c>
      <c r="G135" s="383">
        <f t="shared" si="41"/>
        <v>0</v>
      </c>
      <c r="H135" s="383">
        <f t="shared" si="41"/>
        <v>0</v>
      </c>
      <c r="I135" s="383">
        <f t="shared" si="41"/>
        <v>0</v>
      </c>
      <c r="J135" s="383">
        <f t="shared" si="41"/>
        <v>0</v>
      </c>
      <c r="K135" s="383">
        <f t="shared" si="41"/>
        <v>0</v>
      </c>
      <c r="L135" s="383">
        <f t="shared" si="41"/>
        <v>0</v>
      </c>
      <c r="M135" s="383">
        <f t="shared" si="41"/>
        <v>0</v>
      </c>
      <c r="N135" s="383">
        <f t="shared" si="41"/>
        <v>0</v>
      </c>
      <c r="O135" s="383">
        <f t="shared" si="41"/>
        <v>0</v>
      </c>
      <c r="P135" s="383">
        <f t="shared" si="41"/>
        <v>0</v>
      </c>
      <c r="Q135" s="383">
        <f t="shared" si="41"/>
        <v>0</v>
      </c>
      <c r="R135" s="330">
        <f t="shared" si="24"/>
        <v>129</v>
      </c>
    </row>
    <row r="136" spans="1:18" x14ac:dyDescent="0.25">
      <c r="A136" s="330">
        <f t="shared" si="40"/>
        <v>130</v>
      </c>
      <c r="B136" s="349" t="s">
        <v>29</v>
      </c>
      <c r="C136" s="379">
        <v>0</v>
      </c>
      <c r="D136" s="383">
        <f t="shared" si="41"/>
        <v>0</v>
      </c>
      <c r="E136" s="383">
        <f t="shared" si="41"/>
        <v>0</v>
      </c>
      <c r="F136" s="383">
        <f t="shared" si="41"/>
        <v>0</v>
      </c>
      <c r="G136" s="383">
        <f t="shared" si="41"/>
        <v>0</v>
      </c>
      <c r="H136" s="383">
        <f t="shared" si="41"/>
        <v>0</v>
      </c>
      <c r="I136" s="383">
        <f t="shared" si="41"/>
        <v>0</v>
      </c>
      <c r="J136" s="383">
        <f t="shared" si="41"/>
        <v>0</v>
      </c>
      <c r="K136" s="383">
        <f t="shared" si="41"/>
        <v>0</v>
      </c>
      <c r="L136" s="383">
        <f t="shared" si="41"/>
        <v>0</v>
      </c>
      <c r="M136" s="383">
        <f t="shared" si="41"/>
        <v>0</v>
      </c>
      <c r="N136" s="383">
        <f t="shared" si="41"/>
        <v>0</v>
      </c>
      <c r="O136" s="383">
        <f t="shared" si="41"/>
        <v>0</v>
      </c>
      <c r="P136" s="383">
        <f t="shared" si="41"/>
        <v>0</v>
      </c>
      <c r="Q136" s="383">
        <f t="shared" si="41"/>
        <v>0</v>
      </c>
      <c r="R136" s="330">
        <f t="shared" ref="R136:R199" si="42">A136</f>
        <v>130</v>
      </c>
    </row>
    <row r="137" spans="1:18" x14ac:dyDescent="0.25">
      <c r="A137" s="330">
        <f t="shared" si="40"/>
        <v>131</v>
      </c>
      <c r="B137" s="349" t="s">
        <v>30</v>
      </c>
      <c r="C137" s="379">
        <v>1</v>
      </c>
      <c r="D137" s="383">
        <f t="shared" si="41"/>
        <v>41073.347999999998</v>
      </c>
      <c r="E137" s="383">
        <f t="shared" si="41"/>
        <v>40000</v>
      </c>
      <c r="F137" s="383">
        <f t="shared" si="41"/>
        <v>41000</v>
      </c>
      <c r="G137" s="383">
        <f t="shared" si="41"/>
        <v>42024.999999999993</v>
      </c>
      <c r="H137" s="383">
        <f t="shared" si="41"/>
        <v>43075.624999999985</v>
      </c>
      <c r="I137" s="383">
        <f t="shared" si="41"/>
        <v>44152.515624999978</v>
      </c>
      <c r="J137" s="383">
        <f t="shared" si="41"/>
        <v>35000</v>
      </c>
      <c r="K137" s="383">
        <f t="shared" si="41"/>
        <v>40500</v>
      </c>
      <c r="L137" s="383">
        <f t="shared" si="41"/>
        <v>41512.5</v>
      </c>
      <c r="M137" s="383">
        <f t="shared" si="41"/>
        <v>42550.312499999993</v>
      </c>
      <c r="N137" s="383">
        <f t="shared" si="41"/>
        <v>43614.070312499985</v>
      </c>
      <c r="O137" s="383">
        <f t="shared" si="41"/>
        <v>44704.422070312481</v>
      </c>
      <c r="P137" s="383">
        <f t="shared" si="41"/>
        <v>45822.032622070292</v>
      </c>
      <c r="Q137" s="383">
        <f t="shared" si="41"/>
        <v>46967.583437622045</v>
      </c>
      <c r="R137" s="330">
        <f t="shared" si="42"/>
        <v>131</v>
      </c>
    </row>
    <row r="138" spans="1:18" x14ac:dyDescent="0.25">
      <c r="A138" s="330">
        <f t="shared" si="40"/>
        <v>132</v>
      </c>
      <c r="B138" s="349" t="s">
        <v>50</v>
      </c>
      <c r="C138" s="379">
        <v>0</v>
      </c>
      <c r="D138" s="383">
        <f t="shared" ref="D138:Q142" si="43">D78*$C138</f>
        <v>0</v>
      </c>
      <c r="E138" s="383">
        <f t="shared" si="43"/>
        <v>0</v>
      </c>
      <c r="F138" s="383">
        <f t="shared" si="43"/>
        <v>0</v>
      </c>
      <c r="G138" s="383">
        <f t="shared" si="43"/>
        <v>0</v>
      </c>
      <c r="H138" s="383">
        <f t="shared" si="43"/>
        <v>0</v>
      </c>
      <c r="I138" s="383">
        <f t="shared" si="43"/>
        <v>0</v>
      </c>
      <c r="J138" s="383">
        <f t="shared" si="43"/>
        <v>0</v>
      </c>
      <c r="K138" s="383">
        <f t="shared" si="43"/>
        <v>0</v>
      </c>
      <c r="L138" s="383">
        <f t="shared" si="43"/>
        <v>0</v>
      </c>
      <c r="M138" s="383">
        <f t="shared" si="43"/>
        <v>0</v>
      </c>
      <c r="N138" s="383">
        <f t="shared" si="43"/>
        <v>0</v>
      </c>
      <c r="O138" s="383">
        <f t="shared" si="43"/>
        <v>0</v>
      </c>
      <c r="P138" s="383">
        <f t="shared" si="43"/>
        <v>0</v>
      </c>
      <c r="Q138" s="383">
        <f t="shared" si="43"/>
        <v>0</v>
      </c>
      <c r="R138" s="330">
        <f t="shared" si="42"/>
        <v>132</v>
      </c>
    </row>
    <row r="139" spans="1:18" x14ac:dyDescent="0.25">
      <c r="A139" s="330">
        <f t="shared" si="40"/>
        <v>133</v>
      </c>
      <c r="B139" s="349" t="s">
        <v>31</v>
      </c>
      <c r="C139" s="379">
        <v>0</v>
      </c>
      <c r="D139" s="383">
        <f t="shared" si="43"/>
        <v>0</v>
      </c>
      <c r="E139" s="383">
        <f t="shared" si="43"/>
        <v>0</v>
      </c>
      <c r="F139" s="383">
        <f t="shared" si="43"/>
        <v>0</v>
      </c>
      <c r="G139" s="383">
        <f t="shared" si="43"/>
        <v>0</v>
      </c>
      <c r="H139" s="383">
        <f t="shared" si="43"/>
        <v>0</v>
      </c>
      <c r="I139" s="383">
        <f t="shared" si="43"/>
        <v>0</v>
      </c>
      <c r="J139" s="383">
        <f t="shared" si="43"/>
        <v>0</v>
      </c>
      <c r="K139" s="383">
        <f t="shared" si="43"/>
        <v>0</v>
      </c>
      <c r="L139" s="383">
        <f t="shared" si="43"/>
        <v>0</v>
      </c>
      <c r="M139" s="383">
        <f t="shared" si="43"/>
        <v>0</v>
      </c>
      <c r="N139" s="383">
        <f t="shared" si="43"/>
        <v>0</v>
      </c>
      <c r="O139" s="383">
        <f t="shared" si="43"/>
        <v>0</v>
      </c>
      <c r="P139" s="383">
        <f t="shared" si="43"/>
        <v>0</v>
      </c>
      <c r="Q139" s="383">
        <f t="shared" si="43"/>
        <v>0</v>
      </c>
      <c r="R139" s="330">
        <f t="shared" si="42"/>
        <v>133</v>
      </c>
    </row>
    <row r="140" spans="1:18" x14ac:dyDescent="0.25">
      <c r="A140" s="330">
        <f t="shared" si="40"/>
        <v>134</v>
      </c>
      <c r="B140" s="349" t="s">
        <v>32</v>
      </c>
      <c r="C140" s="379">
        <v>0</v>
      </c>
      <c r="D140" s="383">
        <f t="shared" si="43"/>
        <v>0</v>
      </c>
      <c r="E140" s="383">
        <f t="shared" si="43"/>
        <v>0</v>
      </c>
      <c r="F140" s="383">
        <f t="shared" si="43"/>
        <v>0</v>
      </c>
      <c r="G140" s="383">
        <f t="shared" si="43"/>
        <v>0</v>
      </c>
      <c r="H140" s="383">
        <f t="shared" si="43"/>
        <v>0</v>
      </c>
      <c r="I140" s="383">
        <f t="shared" si="43"/>
        <v>0</v>
      </c>
      <c r="J140" s="383">
        <f t="shared" si="43"/>
        <v>0</v>
      </c>
      <c r="K140" s="383">
        <f t="shared" si="43"/>
        <v>0</v>
      </c>
      <c r="L140" s="383">
        <f t="shared" si="43"/>
        <v>0</v>
      </c>
      <c r="M140" s="383">
        <f t="shared" si="43"/>
        <v>0</v>
      </c>
      <c r="N140" s="383">
        <f t="shared" si="43"/>
        <v>0</v>
      </c>
      <c r="O140" s="383">
        <f t="shared" si="43"/>
        <v>0</v>
      </c>
      <c r="P140" s="383">
        <f t="shared" si="43"/>
        <v>0</v>
      </c>
      <c r="Q140" s="383">
        <f t="shared" si="43"/>
        <v>0</v>
      </c>
      <c r="R140" s="330">
        <f t="shared" si="42"/>
        <v>134</v>
      </c>
    </row>
    <row r="141" spans="1:18" x14ac:dyDescent="0.25">
      <c r="A141" s="330">
        <f t="shared" si="40"/>
        <v>135</v>
      </c>
      <c r="B141" s="369" t="s">
        <v>33</v>
      </c>
      <c r="C141" s="379">
        <v>0</v>
      </c>
      <c r="D141" s="383">
        <f t="shared" si="43"/>
        <v>0</v>
      </c>
      <c r="E141" s="383">
        <f t="shared" si="43"/>
        <v>0</v>
      </c>
      <c r="F141" s="383">
        <f t="shared" si="43"/>
        <v>0</v>
      </c>
      <c r="G141" s="383">
        <f t="shared" si="43"/>
        <v>0</v>
      </c>
      <c r="H141" s="383">
        <f t="shared" si="43"/>
        <v>0</v>
      </c>
      <c r="I141" s="383">
        <f t="shared" si="43"/>
        <v>0</v>
      </c>
      <c r="J141" s="383">
        <f t="shared" si="43"/>
        <v>0</v>
      </c>
      <c r="K141" s="383">
        <f t="shared" si="43"/>
        <v>0</v>
      </c>
      <c r="L141" s="383">
        <f t="shared" si="43"/>
        <v>0</v>
      </c>
      <c r="M141" s="383">
        <f t="shared" si="43"/>
        <v>0</v>
      </c>
      <c r="N141" s="383">
        <f t="shared" si="43"/>
        <v>0</v>
      </c>
      <c r="O141" s="383">
        <f t="shared" si="43"/>
        <v>0</v>
      </c>
      <c r="P141" s="383">
        <f t="shared" si="43"/>
        <v>0</v>
      </c>
      <c r="Q141" s="383">
        <f t="shared" si="43"/>
        <v>0</v>
      </c>
      <c r="R141" s="330">
        <f t="shared" si="42"/>
        <v>135</v>
      </c>
    </row>
    <row r="142" spans="1:18" x14ac:dyDescent="0.25">
      <c r="A142" s="330">
        <f t="shared" si="40"/>
        <v>136</v>
      </c>
      <c r="B142" s="364" t="s">
        <v>347</v>
      </c>
      <c r="C142" s="379">
        <v>0</v>
      </c>
      <c r="D142" s="383">
        <f t="shared" si="43"/>
        <v>0</v>
      </c>
      <c r="E142" s="383">
        <f t="shared" si="43"/>
        <v>0</v>
      </c>
      <c r="F142" s="383">
        <f t="shared" si="43"/>
        <v>0</v>
      </c>
      <c r="G142" s="383">
        <f t="shared" si="43"/>
        <v>0</v>
      </c>
      <c r="H142" s="383">
        <f t="shared" si="43"/>
        <v>0</v>
      </c>
      <c r="I142" s="383">
        <f t="shared" si="43"/>
        <v>0</v>
      </c>
      <c r="J142" s="383">
        <f t="shared" si="43"/>
        <v>0</v>
      </c>
      <c r="K142" s="383">
        <f t="shared" si="43"/>
        <v>0</v>
      </c>
      <c r="L142" s="383">
        <f t="shared" si="43"/>
        <v>0</v>
      </c>
      <c r="M142" s="383">
        <f t="shared" si="43"/>
        <v>0</v>
      </c>
      <c r="N142" s="383">
        <f t="shared" si="43"/>
        <v>0</v>
      </c>
      <c r="O142" s="383">
        <f t="shared" si="43"/>
        <v>0</v>
      </c>
      <c r="P142" s="383">
        <f t="shared" si="43"/>
        <v>0</v>
      </c>
      <c r="Q142" s="383">
        <f t="shared" si="43"/>
        <v>0</v>
      </c>
      <c r="R142" s="330">
        <f t="shared" si="42"/>
        <v>136</v>
      </c>
    </row>
    <row r="143" spans="1:18" x14ac:dyDescent="0.25">
      <c r="A143" s="330">
        <f t="shared" si="40"/>
        <v>137</v>
      </c>
      <c r="B143" s="364" t="s">
        <v>34</v>
      </c>
      <c r="C143" s="379">
        <v>0</v>
      </c>
      <c r="D143" s="383">
        <f t="shared" ref="D143:Q150" si="44">D84*$C143</f>
        <v>0</v>
      </c>
      <c r="E143" s="383">
        <f t="shared" si="44"/>
        <v>0</v>
      </c>
      <c r="F143" s="383">
        <f t="shared" si="44"/>
        <v>0</v>
      </c>
      <c r="G143" s="383">
        <f t="shared" si="44"/>
        <v>0</v>
      </c>
      <c r="H143" s="383">
        <f t="shared" si="44"/>
        <v>0</v>
      </c>
      <c r="I143" s="383">
        <f t="shared" si="44"/>
        <v>0</v>
      </c>
      <c r="J143" s="383">
        <f t="shared" si="44"/>
        <v>0</v>
      </c>
      <c r="K143" s="383">
        <f t="shared" si="44"/>
        <v>0</v>
      </c>
      <c r="L143" s="383">
        <f t="shared" si="44"/>
        <v>0</v>
      </c>
      <c r="M143" s="383">
        <f t="shared" si="44"/>
        <v>0</v>
      </c>
      <c r="N143" s="383">
        <f t="shared" si="44"/>
        <v>0</v>
      </c>
      <c r="O143" s="383">
        <f t="shared" si="44"/>
        <v>0</v>
      </c>
      <c r="P143" s="383">
        <f t="shared" si="44"/>
        <v>0</v>
      </c>
      <c r="Q143" s="383">
        <f t="shared" si="44"/>
        <v>0</v>
      </c>
      <c r="R143" s="330">
        <f t="shared" si="42"/>
        <v>137</v>
      </c>
    </row>
    <row r="144" spans="1:18" x14ac:dyDescent="0.25">
      <c r="A144" s="330">
        <f t="shared" si="40"/>
        <v>138</v>
      </c>
      <c r="B144" s="349" t="s">
        <v>35</v>
      </c>
      <c r="C144" s="379">
        <v>0</v>
      </c>
      <c r="D144" s="383">
        <f t="shared" si="44"/>
        <v>0</v>
      </c>
      <c r="E144" s="383">
        <f t="shared" si="44"/>
        <v>0</v>
      </c>
      <c r="F144" s="383">
        <f t="shared" si="44"/>
        <v>0</v>
      </c>
      <c r="G144" s="383">
        <f t="shared" si="44"/>
        <v>0</v>
      </c>
      <c r="H144" s="383">
        <f t="shared" si="44"/>
        <v>0</v>
      </c>
      <c r="I144" s="383">
        <f t="shared" si="44"/>
        <v>0</v>
      </c>
      <c r="J144" s="383">
        <f t="shared" si="44"/>
        <v>0</v>
      </c>
      <c r="K144" s="383">
        <f t="shared" si="44"/>
        <v>0</v>
      </c>
      <c r="L144" s="383">
        <f t="shared" si="44"/>
        <v>0</v>
      </c>
      <c r="M144" s="383">
        <f t="shared" si="44"/>
        <v>0</v>
      </c>
      <c r="N144" s="383">
        <f t="shared" si="44"/>
        <v>0</v>
      </c>
      <c r="O144" s="383">
        <f t="shared" si="44"/>
        <v>0</v>
      </c>
      <c r="P144" s="383">
        <f t="shared" si="44"/>
        <v>0</v>
      </c>
      <c r="Q144" s="383">
        <f t="shared" si="44"/>
        <v>0</v>
      </c>
      <c r="R144" s="330">
        <f t="shared" si="42"/>
        <v>138</v>
      </c>
    </row>
    <row r="145" spans="1:18" x14ac:dyDescent="0.25">
      <c r="A145" s="330">
        <f t="shared" si="40"/>
        <v>139</v>
      </c>
      <c r="B145" s="349" t="s">
        <v>36</v>
      </c>
      <c r="C145" s="379">
        <v>0</v>
      </c>
      <c r="D145" s="383">
        <f t="shared" si="44"/>
        <v>0</v>
      </c>
      <c r="E145" s="383">
        <f t="shared" si="44"/>
        <v>0</v>
      </c>
      <c r="F145" s="383">
        <f t="shared" si="44"/>
        <v>0</v>
      </c>
      <c r="G145" s="383">
        <f t="shared" si="44"/>
        <v>0</v>
      </c>
      <c r="H145" s="383">
        <f t="shared" si="44"/>
        <v>0</v>
      </c>
      <c r="I145" s="383">
        <f t="shared" si="44"/>
        <v>0</v>
      </c>
      <c r="J145" s="383">
        <f t="shared" si="44"/>
        <v>0</v>
      </c>
      <c r="K145" s="383">
        <f t="shared" si="44"/>
        <v>0</v>
      </c>
      <c r="L145" s="383">
        <f t="shared" si="44"/>
        <v>0</v>
      </c>
      <c r="M145" s="383">
        <f t="shared" si="44"/>
        <v>0</v>
      </c>
      <c r="N145" s="383">
        <f t="shared" si="44"/>
        <v>0</v>
      </c>
      <c r="O145" s="383">
        <f t="shared" si="44"/>
        <v>0</v>
      </c>
      <c r="P145" s="383">
        <f t="shared" si="44"/>
        <v>0</v>
      </c>
      <c r="Q145" s="383">
        <f t="shared" si="44"/>
        <v>0</v>
      </c>
      <c r="R145" s="330">
        <f t="shared" si="42"/>
        <v>139</v>
      </c>
    </row>
    <row r="146" spans="1:18" x14ac:dyDescent="0.25">
      <c r="A146" s="330">
        <f t="shared" si="40"/>
        <v>140</v>
      </c>
      <c r="B146" s="359" t="s">
        <v>37</v>
      </c>
      <c r="C146" s="379">
        <v>0</v>
      </c>
      <c r="D146" s="383">
        <f t="shared" si="44"/>
        <v>0</v>
      </c>
      <c r="E146" s="383">
        <f t="shared" si="44"/>
        <v>0</v>
      </c>
      <c r="F146" s="383">
        <f t="shared" si="44"/>
        <v>0</v>
      </c>
      <c r="G146" s="383">
        <f t="shared" si="44"/>
        <v>0</v>
      </c>
      <c r="H146" s="383">
        <f t="shared" si="44"/>
        <v>0</v>
      </c>
      <c r="I146" s="383">
        <f t="shared" si="44"/>
        <v>0</v>
      </c>
      <c r="J146" s="383">
        <f t="shared" si="44"/>
        <v>0</v>
      </c>
      <c r="K146" s="383">
        <f t="shared" si="44"/>
        <v>0</v>
      </c>
      <c r="L146" s="383">
        <f t="shared" si="44"/>
        <v>0</v>
      </c>
      <c r="M146" s="383">
        <f t="shared" si="44"/>
        <v>0</v>
      </c>
      <c r="N146" s="383">
        <f t="shared" si="44"/>
        <v>0</v>
      </c>
      <c r="O146" s="383">
        <f t="shared" si="44"/>
        <v>0</v>
      </c>
      <c r="P146" s="383">
        <f t="shared" si="44"/>
        <v>0</v>
      </c>
      <c r="Q146" s="383">
        <f t="shared" si="44"/>
        <v>0</v>
      </c>
      <c r="R146" s="330">
        <f t="shared" si="42"/>
        <v>140</v>
      </c>
    </row>
    <row r="147" spans="1:18" x14ac:dyDescent="0.25">
      <c r="A147" s="330">
        <f t="shared" si="40"/>
        <v>141</v>
      </c>
      <c r="B147" s="349" t="s">
        <v>38</v>
      </c>
      <c r="C147" s="379">
        <v>0</v>
      </c>
      <c r="D147" s="383">
        <f t="shared" si="44"/>
        <v>0</v>
      </c>
      <c r="E147" s="383">
        <f t="shared" si="44"/>
        <v>0</v>
      </c>
      <c r="F147" s="383">
        <f t="shared" si="44"/>
        <v>0</v>
      </c>
      <c r="G147" s="383">
        <f t="shared" si="44"/>
        <v>0</v>
      </c>
      <c r="H147" s="383">
        <f t="shared" si="44"/>
        <v>0</v>
      </c>
      <c r="I147" s="383">
        <f t="shared" si="44"/>
        <v>0</v>
      </c>
      <c r="J147" s="383">
        <f t="shared" si="44"/>
        <v>0</v>
      </c>
      <c r="K147" s="383">
        <f t="shared" si="44"/>
        <v>0</v>
      </c>
      <c r="L147" s="383">
        <f t="shared" si="44"/>
        <v>0</v>
      </c>
      <c r="M147" s="383">
        <f t="shared" si="44"/>
        <v>0</v>
      </c>
      <c r="N147" s="383">
        <f t="shared" si="44"/>
        <v>0</v>
      </c>
      <c r="O147" s="383">
        <f t="shared" si="44"/>
        <v>0</v>
      </c>
      <c r="P147" s="383">
        <f t="shared" si="44"/>
        <v>0</v>
      </c>
      <c r="Q147" s="383">
        <f t="shared" si="44"/>
        <v>0</v>
      </c>
      <c r="R147" s="330">
        <f t="shared" si="42"/>
        <v>141</v>
      </c>
    </row>
    <row r="148" spans="1:18" x14ac:dyDescent="0.25">
      <c r="A148" s="330">
        <f t="shared" si="40"/>
        <v>142</v>
      </c>
      <c r="B148" s="369" t="s">
        <v>39</v>
      </c>
      <c r="C148" s="379">
        <v>0</v>
      </c>
      <c r="D148" s="383">
        <f t="shared" si="44"/>
        <v>0</v>
      </c>
      <c r="E148" s="383">
        <f t="shared" si="44"/>
        <v>0</v>
      </c>
      <c r="F148" s="383">
        <f t="shared" si="44"/>
        <v>0</v>
      </c>
      <c r="G148" s="383">
        <f t="shared" si="44"/>
        <v>0</v>
      </c>
      <c r="H148" s="383">
        <f t="shared" si="44"/>
        <v>0</v>
      </c>
      <c r="I148" s="383">
        <f t="shared" si="44"/>
        <v>0</v>
      </c>
      <c r="J148" s="383">
        <f t="shared" si="44"/>
        <v>0</v>
      </c>
      <c r="K148" s="383">
        <f t="shared" si="44"/>
        <v>0</v>
      </c>
      <c r="L148" s="383">
        <f t="shared" si="44"/>
        <v>0</v>
      </c>
      <c r="M148" s="383">
        <f t="shared" si="44"/>
        <v>0</v>
      </c>
      <c r="N148" s="383">
        <f t="shared" si="44"/>
        <v>0</v>
      </c>
      <c r="O148" s="383">
        <f t="shared" si="44"/>
        <v>0</v>
      </c>
      <c r="P148" s="383">
        <f t="shared" si="44"/>
        <v>0</v>
      </c>
      <c r="Q148" s="383">
        <f t="shared" si="44"/>
        <v>0</v>
      </c>
      <c r="R148" s="330">
        <f t="shared" si="42"/>
        <v>142</v>
      </c>
    </row>
    <row r="149" spans="1:18" x14ac:dyDescent="0.25">
      <c r="A149" s="330">
        <f t="shared" si="40"/>
        <v>143</v>
      </c>
      <c r="B149" s="369" t="s">
        <v>49</v>
      </c>
      <c r="C149" s="379">
        <v>0</v>
      </c>
      <c r="D149" s="383">
        <f t="shared" si="44"/>
        <v>0</v>
      </c>
      <c r="E149" s="383">
        <f t="shared" si="44"/>
        <v>0</v>
      </c>
      <c r="F149" s="383">
        <f t="shared" si="44"/>
        <v>0</v>
      </c>
      <c r="G149" s="383">
        <f t="shared" si="44"/>
        <v>0</v>
      </c>
      <c r="H149" s="383">
        <f t="shared" si="44"/>
        <v>0</v>
      </c>
      <c r="I149" s="383">
        <f t="shared" si="44"/>
        <v>0</v>
      </c>
      <c r="J149" s="383">
        <f t="shared" si="44"/>
        <v>0</v>
      </c>
      <c r="K149" s="383">
        <f t="shared" si="44"/>
        <v>0</v>
      </c>
      <c r="L149" s="383">
        <f t="shared" si="44"/>
        <v>0</v>
      </c>
      <c r="M149" s="383">
        <f t="shared" si="44"/>
        <v>0</v>
      </c>
      <c r="N149" s="383">
        <f t="shared" si="44"/>
        <v>0</v>
      </c>
      <c r="O149" s="383">
        <f t="shared" si="44"/>
        <v>0</v>
      </c>
      <c r="P149" s="383">
        <f t="shared" si="44"/>
        <v>0</v>
      </c>
      <c r="Q149" s="383">
        <f t="shared" si="44"/>
        <v>0</v>
      </c>
      <c r="R149" s="330">
        <f t="shared" si="42"/>
        <v>143</v>
      </c>
    </row>
    <row r="150" spans="1:18" x14ac:dyDescent="0.25">
      <c r="A150" s="330">
        <f t="shared" si="40"/>
        <v>144</v>
      </c>
      <c r="B150" s="369" t="s">
        <v>348</v>
      </c>
      <c r="C150" s="379">
        <v>0</v>
      </c>
      <c r="D150" s="383">
        <f t="shared" si="44"/>
        <v>0</v>
      </c>
      <c r="E150" s="383">
        <f t="shared" si="44"/>
        <v>0</v>
      </c>
      <c r="F150" s="383">
        <f t="shared" si="44"/>
        <v>0</v>
      </c>
      <c r="G150" s="383">
        <f t="shared" si="44"/>
        <v>0</v>
      </c>
      <c r="H150" s="383">
        <f t="shared" si="44"/>
        <v>0</v>
      </c>
      <c r="I150" s="383">
        <f t="shared" si="44"/>
        <v>0</v>
      </c>
      <c r="J150" s="383">
        <f t="shared" si="44"/>
        <v>0</v>
      </c>
      <c r="K150" s="383">
        <f t="shared" si="44"/>
        <v>0</v>
      </c>
      <c r="L150" s="383">
        <f t="shared" si="44"/>
        <v>0</v>
      </c>
      <c r="M150" s="383">
        <f t="shared" si="44"/>
        <v>0</v>
      </c>
      <c r="N150" s="383">
        <f t="shared" si="44"/>
        <v>0</v>
      </c>
      <c r="O150" s="383">
        <f t="shared" si="44"/>
        <v>0</v>
      </c>
      <c r="P150" s="383">
        <f t="shared" si="44"/>
        <v>0</v>
      </c>
      <c r="Q150" s="383">
        <f t="shared" si="44"/>
        <v>0</v>
      </c>
      <c r="R150" s="330">
        <f t="shared" si="42"/>
        <v>144</v>
      </c>
    </row>
    <row r="151" spans="1:18" x14ac:dyDescent="0.25">
      <c r="A151" s="330">
        <f t="shared" si="40"/>
        <v>145</v>
      </c>
      <c r="B151" s="339" t="s">
        <v>40</v>
      </c>
      <c r="C151" s="384"/>
      <c r="D151" s="342">
        <f>SUM(D133:D150)</f>
        <v>41073.347999999998</v>
      </c>
      <c r="E151" s="342">
        <f t="shared" ref="E151:Q151" si="45">SUM(E133:E150)</f>
        <v>41000</v>
      </c>
      <c r="F151" s="342">
        <f t="shared" si="45"/>
        <v>42025</v>
      </c>
      <c r="G151" s="342">
        <f t="shared" si="45"/>
        <v>43075.624999999993</v>
      </c>
      <c r="H151" s="342">
        <f t="shared" si="45"/>
        <v>44152.515624999985</v>
      </c>
      <c r="I151" s="342">
        <f t="shared" si="45"/>
        <v>45256.328515624977</v>
      </c>
      <c r="J151" s="342">
        <f t="shared" si="45"/>
        <v>53000</v>
      </c>
      <c r="K151" s="342">
        <f t="shared" si="45"/>
        <v>58500</v>
      </c>
      <c r="L151" s="342">
        <f t="shared" si="45"/>
        <v>59962.5</v>
      </c>
      <c r="M151" s="342">
        <f t="shared" si="45"/>
        <v>61461.562499999993</v>
      </c>
      <c r="N151" s="342">
        <f t="shared" si="45"/>
        <v>62998.101562499985</v>
      </c>
      <c r="O151" s="342">
        <f t="shared" si="45"/>
        <v>64573.054101562477</v>
      </c>
      <c r="P151" s="342">
        <f t="shared" si="45"/>
        <v>66187.380454101542</v>
      </c>
      <c r="Q151" s="342">
        <f t="shared" si="45"/>
        <v>67842.064965454076</v>
      </c>
      <c r="R151" s="330">
        <f t="shared" si="42"/>
        <v>145</v>
      </c>
    </row>
    <row r="152" spans="1:18" x14ac:dyDescent="0.25">
      <c r="A152" s="330">
        <f t="shared" si="40"/>
        <v>146</v>
      </c>
      <c r="B152" s="369"/>
      <c r="C152" s="385"/>
      <c r="D152" s="370"/>
      <c r="E152" s="370"/>
      <c r="F152" s="370"/>
      <c r="G152" s="370"/>
      <c r="H152" s="370"/>
      <c r="I152" s="370"/>
      <c r="J152" s="370"/>
      <c r="K152" s="370"/>
      <c r="L152" s="370"/>
      <c r="M152" s="370"/>
      <c r="N152" s="370"/>
      <c r="O152" s="370"/>
      <c r="P152" s="370"/>
      <c r="Q152" s="370"/>
      <c r="R152" s="330">
        <f t="shared" si="42"/>
        <v>146</v>
      </c>
    </row>
    <row r="153" spans="1:18" ht="15.75" thickBot="1" x14ac:dyDescent="0.3">
      <c r="A153" s="330">
        <f t="shared" si="40"/>
        <v>147</v>
      </c>
      <c r="B153" s="373" t="s">
        <v>353</v>
      </c>
      <c r="C153" s="386"/>
      <c r="D153" s="375">
        <f t="shared" ref="D153:Q153" si="46">D106+D130+D151</f>
        <v>384226.88</v>
      </c>
      <c r="E153" s="375">
        <f t="shared" si="46"/>
        <v>394877.64799999999</v>
      </c>
      <c r="F153" s="375">
        <f t="shared" si="46"/>
        <v>404749.58919999993</v>
      </c>
      <c r="G153" s="375">
        <f t="shared" si="46"/>
        <v>414868.32892999996</v>
      </c>
      <c r="H153" s="375">
        <f t="shared" si="46"/>
        <v>425240.0371532499</v>
      </c>
      <c r="I153" s="375">
        <f t="shared" si="46"/>
        <v>435871.03808208113</v>
      </c>
      <c r="J153" s="375">
        <f t="shared" si="46"/>
        <v>542260.5</v>
      </c>
      <c r="K153" s="375">
        <f t="shared" si="46"/>
        <v>597549.24</v>
      </c>
      <c r="L153" s="375">
        <f t="shared" si="46"/>
        <v>612487.97100000002</v>
      </c>
      <c r="M153" s="375">
        <f t="shared" si="46"/>
        <v>627800.17027499992</v>
      </c>
      <c r="N153" s="375">
        <f t="shared" si="46"/>
        <v>643495.17453187495</v>
      </c>
      <c r="O153" s="375">
        <f t="shared" si="46"/>
        <v>659582.55389517162</v>
      </c>
      <c r="P153" s="375">
        <f t="shared" si="46"/>
        <v>676072.11774255103</v>
      </c>
      <c r="Q153" s="375">
        <f t="shared" si="46"/>
        <v>692973.92068611458</v>
      </c>
      <c r="R153" s="330">
        <f t="shared" si="42"/>
        <v>147</v>
      </c>
    </row>
    <row r="154" spans="1:18" x14ac:dyDescent="0.25">
      <c r="A154" s="330">
        <f t="shared" si="40"/>
        <v>148</v>
      </c>
      <c r="B154" s="387" t="str">
        <f>B94</f>
        <v>Total Water Operational Expenses</v>
      </c>
      <c r="C154" s="388"/>
      <c r="D154" s="329"/>
      <c r="E154" s="329"/>
      <c r="F154" s="329"/>
      <c r="G154" s="329"/>
      <c r="H154" s="329"/>
      <c r="I154" s="329"/>
      <c r="J154" s="329"/>
      <c r="K154" s="329"/>
      <c r="L154" s="329"/>
      <c r="M154" s="329"/>
      <c r="N154" s="329"/>
      <c r="O154" s="329"/>
      <c r="P154" s="329"/>
      <c r="Q154" s="329"/>
      <c r="R154" s="330">
        <f t="shared" si="42"/>
        <v>148</v>
      </c>
    </row>
    <row r="155" spans="1:18" x14ac:dyDescent="0.25">
      <c r="A155" s="330">
        <f t="shared" si="40"/>
        <v>149</v>
      </c>
      <c r="B155" s="387"/>
      <c r="C155" s="388"/>
      <c r="D155" s="329"/>
      <c r="E155" s="329"/>
      <c r="F155" s="329"/>
      <c r="G155" s="329"/>
      <c r="H155" s="329"/>
      <c r="I155" s="329"/>
      <c r="J155" s="329"/>
      <c r="K155" s="329"/>
      <c r="L155" s="329"/>
      <c r="M155" s="329"/>
      <c r="N155" s="329"/>
      <c r="O155" s="329"/>
      <c r="P155" s="329"/>
      <c r="Q155" s="329"/>
      <c r="R155" s="330">
        <f t="shared" si="42"/>
        <v>149</v>
      </c>
    </row>
    <row r="156" spans="1:18" x14ac:dyDescent="0.25">
      <c r="A156" s="330">
        <f t="shared" si="40"/>
        <v>150</v>
      </c>
      <c r="B156" s="329"/>
      <c r="C156" s="388"/>
      <c r="D156" s="329"/>
      <c r="E156" s="329"/>
      <c r="F156" s="329"/>
      <c r="G156" s="329"/>
      <c r="H156" s="329"/>
      <c r="I156" s="329"/>
      <c r="J156" s="329"/>
      <c r="K156" s="329"/>
      <c r="L156" s="329"/>
      <c r="M156" s="329"/>
      <c r="N156" s="329"/>
      <c r="O156" s="329"/>
      <c r="P156" s="329"/>
      <c r="Q156" s="329"/>
      <c r="R156" s="330">
        <f t="shared" si="42"/>
        <v>150</v>
      </c>
    </row>
    <row r="157" spans="1:18" ht="57" thickBot="1" x14ac:dyDescent="0.35">
      <c r="A157" s="330">
        <f t="shared" si="40"/>
        <v>151</v>
      </c>
      <c r="B157" s="395" t="s">
        <v>354</v>
      </c>
      <c r="C157" s="389" t="s">
        <v>355</v>
      </c>
      <c r="D157" s="331">
        <v>2011</v>
      </c>
      <c r="E157" s="331">
        <f t="shared" ref="E157:Q157" si="47">D157+1</f>
        <v>2012</v>
      </c>
      <c r="F157" s="331">
        <f t="shared" si="47"/>
        <v>2013</v>
      </c>
      <c r="G157" s="331">
        <f t="shared" si="47"/>
        <v>2014</v>
      </c>
      <c r="H157" s="331">
        <f t="shared" si="47"/>
        <v>2015</v>
      </c>
      <c r="I157" s="331">
        <f t="shared" si="47"/>
        <v>2016</v>
      </c>
      <c r="J157" s="331">
        <f t="shared" si="47"/>
        <v>2017</v>
      </c>
      <c r="K157" s="331">
        <f t="shared" si="47"/>
        <v>2018</v>
      </c>
      <c r="L157" s="331">
        <f t="shared" si="47"/>
        <v>2019</v>
      </c>
      <c r="M157" s="331">
        <f t="shared" si="47"/>
        <v>2020</v>
      </c>
      <c r="N157" s="331">
        <f t="shared" si="47"/>
        <v>2021</v>
      </c>
      <c r="O157" s="331">
        <f t="shared" si="47"/>
        <v>2022</v>
      </c>
      <c r="P157" s="331">
        <f t="shared" si="47"/>
        <v>2023</v>
      </c>
      <c r="Q157" s="331">
        <f t="shared" si="47"/>
        <v>2024</v>
      </c>
      <c r="R157" s="330">
        <f t="shared" si="42"/>
        <v>151</v>
      </c>
    </row>
    <row r="158" spans="1:18" x14ac:dyDescent="0.25">
      <c r="A158" s="330">
        <f t="shared" si="40"/>
        <v>152</v>
      </c>
      <c r="B158" s="396" t="s">
        <v>2</v>
      </c>
      <c r="C158" s="397"/>
      <c r="D158" s="397"/>
      <c r="E158" s="398"/>
      <c r="F158" s="397"/>
      <c r="G158" s="397"/>
      <c r="H158" s="397"/>
      <c r="I158" s="397"/>
      <c r="J158" s="397"/>
      <c r="K158" s="397"/>
      <c r="L158" s="397"/>
      <c r="M158" s="397"/>
      <c r="N158" s="397"/>
      <c r="O158" s="397"/>
      <c r="P158" s="397"/>
      <c r="Q158" s="397"/>
      <c r="R158" s="330">
        <f t="shared" si="42"/>
        <v>152</v>
      </c>
    </row>
    <row r="159" spans="1:18" x14ac:dyDescent="0.25">
      <c r="A159" s="330">
        <f t="shared" si="40"/>
        <v>153</v>
      </c>
      <c r="B159" s="349" t="s">
        <v>3</v>
      </c>
      <c r="C159" s="390">
        <f t="shared" ref="C159:C165" si="48">1-C99</f>
        <v>0</v>
      </c>
      <c r="D159" s="391">
        <f>D35*$C159</f>
        <v>0</v>
      </c>
      <c r="E159" s="391">
        <f t="shared" ref="E159:Q159" si="49">E35*$C159</f>
        <v>0</v>
      </c>
      <c r="F159" s="391">
        <f t="shared" si="49"/>
        <v>0</v>
      </c>
      <c r="G159" s="391">
        <f t="shared" si="49"/>
        <v>0</v>
      </c>
      <c r="H159" s="391">
        <f t="shared" si="49"/>
        <v>0</v>
      </c>
      <c r="I159" s="391">
        <f t="shared" si="49"/>
        <v>0</v>
      </c>
      <c r="J159" s="391">
        <f t="shared" si="49"/>
        <v>0</v>
      </c>
      <c r="K159" s="391">
        <f t="shared" si="49"/>
        <v>0</v>
      </c>
      <c r="L159" s="391">
        <f t="shared" si="49"/>
        <v>0</v>
      </c>
      <c r="M159" s="391">
        <f t="shared" si="49"/>
        <v>0</v>
      </c>
      <c r="N159" s="391">
        <f t="shared" si="49"/>
        <v>0</v>
      </c>
      <c r="O159" s="391">
        <f t="shared" si="49"/>
        <v>0</v>
      </c>
      <c r="P159" s="391">
        <f t="shared" si="49"/>
        <v>0</v>
      </c>
      <c r="Q159" s="391">
        <f t="shared" si="49"/>
        <v>0</v>
      </c>
      <c r="R159" s="330">
        <f t="shared" si="42"/>
        <v>153</v>
      </c>
    </row>
    <row r="160" spans="1:18" x14ac:dyDescent="0.25">
      <c r="A160" s="330">
        <f t="shared" si="40"/>
        <v>154</v>
      </c>
      <c r="B160" s="349" t="s">
        <v>333</v>
      </c>
      <c r="C160" s="390">
        <f t="shared" si="48"/>
        <v>0</v>
      </c>
      <c r="D160" s="336">
        <f t="shared" ref="D160:Q165" si="50">D36*$C160</f>
        <v>0</v>
      </c>
      <c r="E160" s="336">
        <f t="shared" si="50"/>
        <v>0</v>
      </c>
      <c r="F160" s="336">
        <f t="shared" si="50"/>
        <v>0</v>
      </c>
      <c r="G160" s="336">
        <f t="shared" si="50"/>
        <v>0</v>
      </c>
      <c r="H160" s="336">
        <f t="shared" si="50"/>
        <v>0</v>
      </c>
      <c r="I160" s="336">
        <f t="shared" si="50"/>
        <v>0</v>
      </c>
      <c r="J160" s="336">
        <f t="shared" si="50"/>
        <v>0</v>
      </c>
      <c r="K160" s="336">
        <f t="shared" si="50"/>
        <v>0</v>
      </c>
      <c r="L160" s="336">
        <f t="shared" si="50"/>
        <v>0</v>
      </c>
      <c r="M160" s="336">
        <f t="shared" si="50"/>
        <v>0</v>
      </c>
      <c r="N160" s="336">
        <f t="shared" si="50"/>
        <v>0</v>
      </c>
      <c r="O160" s="336">
        <f t="shared" si="50"/>
        <v>0</v>
      </c>
      <c r="P160" s="336">
        <f t="shared" si="50"/>
        <v>0</v>
      </c>
      <c r="Q160" s="336">
        <f t="shared" si="50"/>
        <v>0</v>
      </c>
      <c r="R160" s="330">
        <f t="shared" si="42"/>
        <v>154</v>
      </c>
    </row>
    <row r="161" spans="1:18" x14ac:dyDescent="0.25">
      <c r="A161" s="330">
        <f t="shared" si="40"/>
        <v>155</v>
      </c>
      <c r="B161" s="349" t="s">
        <v>4</v>
      </c>
      <c r="C161" s="390">
        <f t="shared" si="48"/>
        <v>0</v>
      </c>
      <c r="D161" s="336">
        <f t="shared" si="50"/>
        <v>0</v>
      </c>
      <c r="E161" s="336">
        <f t="shared" si="50"/>
        <v>0</v>
      </c>
      <c r="F161" s="336">
        <f t="shared" si="50"/>
        <v>0</v>
      </c>
      <c r="G161" s="336">
        <f t="shared" si="50"/>
        <v>0</v>
      </c>
      <c r="H161" s="336">
        <f t="shared" si="50"/>
        <v>0</v>
      </c>
      <c r="I161" s="336">
        <f t="shared" si="50"/>
        <v>0</v>
      </c>
      <c r="J161" s="336">
        <f t="shared" si="50"/>
        <v>0</v>
      </c>
      <c r="K161" s="336">
        <f t="shared" si="50"/>
        <v>0</v>
      </c>
      <c r="L161" s="336">
        <f t="shared" si="50"/>
        <v>0</v>
      </c>
      <c r="M161" s="336">
        <f t="shared" si="50"/>
        <v>0</v>
      </c>
      <c r="N161" s="336">
        <f t="shared" si="50"/>
        <v>0</v>
      </c>
      <c r="O161" s="336">
        <f t="shared" si="50"/>
        <v>0</v>
      </c>
      <c r="P161" s="336">
        <f t="shared" si="50"/>
        <v>0</v>
      </c>
      <c r="Q161" s="336">
        <f t="shared" si="50"/>
        <v>0</v>
      </c>
      <c r="R161" s="330">
        <f t="shared" si="42"/>
        <v>155</v>
      </c>
    </row>
    <row r="162" spans="1:18" x14ac:dyDescent="0.25">
      <c r="A162" s="330">
        <f t="shared" si="40"/>
        <v>156</v>
      </c>
      <c r="B162" s="349" t="s">
        <v>5</v>
      </c>
      <c r="C162" s="390">
        <f t="shared" si="48"/>
        <v>0</v>
      </c>
      <c r="D162" s="336">
        <f t="shared" si="50"/>
        <v>0</v>
      </c>
      <c r="E162" s="336">
        <f t="shared" si="50"/>
        <v>0</v>
      </c>
      <c r="F162" s="336">
        <f t="shared" si="50"/>
        <v>0</v>
      </c>
      <c r="G162" s="336">
        <f t="shared" si="50"/>
        <v>0</v>
      </c>
      <c r="H162" s="336">
        <f t="shared" si="50"/>
        <v>0</v>
      </c>
      <c r="I162" s="336">
        <f t="shared" si="50"/>
        <v>0</v>
      </c>
      <c r="J162" s="336">
        <f t="shared" si="50"/>
        <v>0</v>
      </c>
      <c r="K162" s="336">
        <f t="shared" si="50"/>
        <v>0</v>
      </c>
      <c r="L162" s="336">
        <f t="shared" si="50"/>
        <v>0</v>
      </c>
      <c r="M162" s="336">
        <f t="shared" si="50"/>
        <v>0</v>
      </c>
      <c r="N162" s="336">
        <f t="shared" si="50"/>
        <v>0</v>
      </c>
      <c r="O162" s="336">
        <f t="shared" si="50"/>
        <v>0</v>
      </c>
      <c r="P162" s="336">
        <f t="shared" si="50"/>
        <v>0</v>
      </c>
      <c r="Q162" s="336">
        <f t="shared" si="50"/>
        <v>0</v>
      </c>
      <c r="R162" s="330">
        <f t="shared" si="42"/>
        <v>156</v>
      </c>
    </row>
    <row r="163" spans="1:18" x14ac:dyDescent="0.25">
      <c r="A163" s="330">
        <f t="shared" si="40"/>
        <v>157</v>
      </c>
      <c r="B163" s="349" t="s">
        <v>6</v>
      </c>
      <c r="C163" s="390">
        <f t="shared" si="48"/>
        <v>0</v>
      </c>
      <c r="D163" s="336">
        <f t="shared" si="50"/>
        <v>0</v>
      </c>
      <c r="E163" s="336">
        <f t="shared" si="50"/>
        <v>0</v>
      </c>
      <c r="F163" s="336">
        <f t="shared" si="50"/>
        <v>0</v>
      </c>
      <c r="G163" s="336">
        <f t="shared" si="50"/>
        <v>0</v>
      </c>
      <c r="H163" s="336">
        <f t="shared" si="50"/>
        <v>0</v>
      </c>
      <c r="I163" s="336">
        <f t="shared" si="50"/>
        <v>0</v>
      </c>
      <c r="J163" s="336">
        <f t="shared" si="50"/>
        <v>0</v>
      </c>
      <c r="K163" s="336">
        <f t="shared" si="50"/>
        <v>0</v>
      </c>
      <c r="L163" s="336">
        <f t="shared" si="50"/>
        <v>0</v>
      </c>
      <c r="M163" s="336">
        <f t="shared" si="50"/>
        <v>0</v>
      </c>
      <c r="N163" s="336">
        <f t="shared" si="50"/>
        <v>0</v>
      </c>
      <c r="O163" s="336">
        <f t="shared" si="50"/>
        <v>0</v>
      </c>
      <c r="P163" s="336">
        <f t="shared" si="50"/>
        <v>0</v>
      </c>
      <c r="Q163" s="336">
        <f t="shared" si="50"/>
        <v>0</v>
      </c>
      <c r="R163" s="330">
        <f t="shared" si="42"/>
        <v>157</v>
      </c>
    </row>
    <row r="164" spans="1:18" x14ac:dyDescent="0.25">
      <c r="A164" s="330">
        <f t="shared" si="40"/>
        <v>158</v>
      </c>
      <c r="B164" s="359" t="s">
        <v>334</v>
      </c>
      <c r="C164" s="390">
        <f t="shared" si="48"/>
        <v>0</v>
      </c>
      <c r="D164" s="336">
        <f t="shared" si="50"/>
        <v>0</v>
      </c>
      <c r="E164" s="336">
        <f t="shared" si="50"/>
        <v>0</v>
      </c>
      <c r="F164" s="336">
        <f t="shared" si="50"/>
        <v>0</v>
      </c>
      <c r="G164" s="336">
        <f t="shared" si="50"/>
        <v>0</v>
      </c>
      <c r="H164" s="336">
        <f t="shared" si="50"/>
        <v>0</v>
      </c>
      <c r="I164" s="336">
        <f t="shared" si="50"/>
        <v>0</v>
      </c>
      <c r="J164" s="336">
        <f t="shared" si="50"/>
        <v>0</v>
      </c>
      <c r="K164" s="336">
        <f t="shared" si="50"/>
        <v>0</v>
      </c>
      <c r="L164" s="336">
        <f t="shared" si="50"/>
        <v>0</v>
      </c>
      <c r="M164" s="336">
        <f t="shared" si="50"/>
        <v>0</v>
      </c>
      <c r="N164" s="336">
        <f t="shared" si="50"/>
        <v>0</v>
      </c>
      <c r="O164" s="336">
        <f t="shared" si="50"/>
        <v>0</v>
      </c>
      <c r="P164" s="336">
        <f t="shared" si="50"/>
        <v>0</v>
      </c>
      <c r="Q164" s="336">
        <f t="shared" si="50"/>
        <v>0</v>
      </c>
      <c r="R164" s="330">
        <f t="shared" si="42"/>
        <v>158</v>
      </c>
    </row>
    <row r="165" spans="1:18" x14ac:dyDescent="0.25">
      <c r="A165" s="330">
        <f t="shared" si="40"/>
        <v>159</v>
      </c>
      <c r="B165" s="349" t="s">
        <v>7</v>
      </c>
      <c r="C165" s="390">
        <f t="shared" si="48"/>
        <v>0</v>
      </c>
      <c r="D165" s="336">
        <f t="shared" si="50"/>
        <v>0</v>
      </c>
      <c r="E165" s="336">
        <f t="shared" si="50"/>
        <v>0</v>
      </c>
      <c r="F165" s="336">
        <f t="shared" si="50"/>
        <v>0</v>
      </c>
      <c r="G165" s="336">
        <f t="shared" si="50"/>
        <v>0</v>
      </c>
      <c r="H165" s="336">
        <f t="shared" si="50"/>
        <v>0</v>
      </c>
      <c r="I165" s="336">
        <f t="shared" si="50"/>
        <v>0</v>
      </c>
      <c r="J165" s="336">
        <f t="shared" si="50"/>
        <v>0</v>
      </c>
      <c r="K165" s="336">
        <f t="shared" si="50"/>
        <v>0</v>
      </c>
      <c r="L165" s="336">
        <f t="shared" si="50"/>
        <v>0</v>
      </c>
      <c r="M165" s="336">
        <f t="shared" si="50"/>
        <v>0</v>
      </c>
      <c r="N165" s="336">
        <f t="shared" si="50"/>
        <v>0</v>
      </c>
      <c r="O165" s="336">
        <f t="shared" si="50"/>
        <v>0</v>
      </c>
      <c r="P165" s="336">
        <f t="shared" si="50"/>
        <v>0</v>
      </c>
      <c r="Q165" s="336">
        <f t="shared" si="50"/>
        <v>0</v>
      </c>
      <c r="R165" s="330">
        <f t="shared" si="42"/>
        <v>159</v>
      </c>
    </row>
    <row r="166" spans="1:18" x14ac:dyDescent="0.25">
      <c r="A166" s="330">
        <f t="shared" si="40"/>
        <v>160</v>
      </c>
      <c r="B166" s="339" t="s">
        <v>327</v>
      </c>
      <c r="C166" s="384"/>
      <c r="D166" s="392">
        <f>SUM(D159:D165)</f>
        <v>0</v>
      </c>
      <c r="E166" s="392">
        <f>SUM(E159:E165)</f>
        <v>0</v>
      </c>
      <c r="F166" s="392">
        <f>SUM(F159:F165)</f>
        <v>0</v>
      </c>
      <c r="G166" s="392">
        <f t="shared" ref="G166:Q166" si="51">SUM(G159:G165)</f>
        <v>0</v>
      </c>
      <c r="H166" s="392">
        <f t="shared" si="51"/>
        <v>0</v>
      </c>
      <c r="I166" s="392">
        <f t="shared" si="51"/>
        <v>0</v>
      </c>
      <c r="J166" s="392">
        <f t="shared" si="51"/>
        <v>0</v>
      </c>
      <c r="K166" s="392">
        <f t="shared" si="51"/>
        <v>0</v>
      </c>
      <c r="L166" s="392">
        <f t="shared" si="51"/>
        <v>0</v>
      </c>
      <c r="M166" s="392">
        <f t="shared" si="51"/>
        <v>0</v>
      </c>
      <c r="N166" s="392">
        <f t="shared" si="51"/>
        <v>0</v>
      </c>
      <c r="O166" s="392">
        <f t="shared" si="51"/>
        <v>0</v>
      </c>
      <c r="P166" s="392">
        <f t="shared" si="51"/>
        <v>0</v>
      </c>
      <c r="Q166" s="392">
        <f t="shared" si="51"/>
        <v>0</v>
      </c>
      <c r="R166" s="330">
        <f t="shared" si="42"/>
        <v>160</v>
      </c>
    </row>
    <row r="167" spans="1:18" ht="15.75" thickBot="1" x14ac:dyDescent="0.3">
      <c r="A167" s="330">
        <f t="shared" si="40"/>
        <v>161</v>
      </c>
      <c r="B167" s="360"/>
      <c r="C167" s="393"/>
      <c r="D167" s="394"/>
      <c r="E167" s="394"/>
      <c r="F167" s="394"/>
      <c r="G167" s="394"/>
      <c r="H167" s="394"/>
      <c r="I167" s="394"/>
      <c r="J167" s="394"/>
      <c r="K167" s="394"/>
      <c r="L167" s="394"/>
      <c r="M167" s="394"/>
      <c r="N167" s="394"/>
      <c r="O167" s="394"/>
      <c r="P167" s="394"/>
      <c r="Q167" s="394"/>
      <c r="R167" s="330">
        <f t="shared" si="42"/>
        <v>161</v>
      </c>
    </row>
    <row r="168" spans="1:18" x14ac:dyDescent="0.25">
      <c r="A168" s="330">
        <f t="shared" si="40"/>
        <v>162</v>
      </c>
      <c r="B168" s="396" t="s">
        <v>9</v>
      </c>
      <c r="C168" s="397"/>
      <c r="D168" s="397"/>
      <c r="E168" s="398"/>
      <c r="F168" s="397"/>
      <c r="G168" s="397"/>
      <c r="H168" s="397"/>
      <c r="I168" s="397"/>
      <c r="J168" s="397"/>
      <c r="K168" s="397"/>
      <c r="L168" s="397"/>
      <c r="M168" s="397"/>
      <c r="N168" s="397"/>
      <c r="O168" s="397"/>
      <c r="P168" s="397"/>
      <c r="Q168" s="397"/>
      <c r="R168" s="330">
        <f t="shared" si="42"/>
        <v>162</v>
      </c>
    </row>
    <row r="169" spans="1:18" x14ac:dyDescent="0.25">
      <c r="A169" s="330">
        <f t="shared" si="40"/>
        <v>163</v>
      </c>
      <c r="B169" s="364" t="s">
        <v>10</v>
      </c>
      <c r="C169" s="390">
        <f t="shared" ref="C169:C189" si="52">1-C109</f>
        <v>0</v>
      </c>
      <c r="D169" s="336">
        <f t="shared" ref="D169:Q170" si="53">D45*$C169</f>
        <v>0</v>
      </c>
      <c r="E169" s="336">
        <f t="shared" si="53"/>
        <v>0</v>
      </c>
      <c r="F169" s="336">
        <f t="shared" si="53"/>
        <v>0</v>
      </c>
      <c r="G169" s="336">
        <f t="shared" si="53"/>
        <v>0</v>
      </c>
      <c r="H169" s="336">
        <f t="shared" si="53"/>
        <v>0</v>
      </c>
      <c r="I169" s="336">
        <f t="shared" si="53"/>
        <v>0</v>
      </c>
      <c r="J169" s="336">
        <f t="shared" si="53"/>
        <v>0</v>
      </c>
      <c r="K169" s="336">
        <f t="shared" si="53"/>
        <v>0</v>
      </c>
      <c r="L169" s="336">
        <f t="shared" si="53"/>
        <v>0</v>
      </c>
      <c r="M169" s="336">
        <f t="shared" si="53"/>
        <v>0</v>
      </c>
      <c r="N169" s="336">
        <f t="shared" si="53"/>
        <v>0</v>
      </c>
      <c r="O169" s="336">
        <f t="shared" si="53"/>
        <v>0</v>
      </c>
      <c r="P169" s="336">
        <f t="shared" si="53"/>
        <v>0</v>
      </c>
      <c r="Q169" s="336">
        <f t="shared" si="53"/>
        <v>0</v>
      </c>
      <c r="R169" s="330">
        <f t="shared" si="42"/>
        <v>163</v>
      </c>
    </row>
    <row r="170" spans="1:18" x14ac:dyDescent="0.25">
      <c r="A170" s="330">
        <f t="shared" si="40"/>
        <v>164</v>
      </c>
      <c r="B170" s="349" t="s">
        <v>335</v>
      </c>
      <c r="C170" s="390">
        <f t="shared" si="52"/>
        <v>0</v>
      </c>
      <c r="D170" s="336">
        <f t="shared" si="53"/>
        <v>0</v>
      </c>
      <c r="E170" s="336">
        <f t="shared" si="53"/>
        <v>0</v>
      </c>
      <c r="F170" s="336">
        <f t="shared" si="53"/>
        <v>0</v>
      </c>
      <c r="G170" s="336">
        <f t="shared" si="53"/>
        <v>0</v>
      </c>
      <c r="H170" s="336">
        <f t="shared" si="53"/>
        <v>0</v>
      </c>
      <c r="I170" s="336">
        <f t="shared" si="53"/>
        <v>0</v>
      </c>
      <c r="J170" s="336">
        <f t="shared" si="53"/>
        <v>0</v>
      </c>
      <c r="K170" s="336">
        <f t="shared" si="53"/>
        <v>0</v>
      </c>
      <c r="L170" s="336">
        <f t="shared" si="53"/>
        <v>0</v>
      </c>
      <c r="M170" s="336">
        <f t="shared" si="53"/>
        <v>0</v>
      </c>
      <c r="N170" s="336">
        <f t="shared" si="53"/>
        <v>0</v>
      </c>
      <c r="O170" s="336">
        <f t="shared" si="53"/>
        <v>0</v>
      </c>
      <c r="P170" s="336">
        <f t="shared" si="53"/>
        <v>0</v>
      </c>
      <c r="Q170" s="336">
        <f t="shared" si="53"/>
        <v>0</v>
      </c>
      <c r="R170" s="330">
        <f t="shared" si="42"/>
        <v>164</v>
      </c>
    </row>
    <row r="171" spans="1:18" x14ac:dyDescent="0.25">
      <c r="A171" s="330">
        <f t="shared" si="40"/>
        <v>165</v>
      </c>
      <c r="B171" s="364" t="s">
        <v>12</v>
      </c>
      <c r="C171" s="390">
        <f t="shared" si="52"/>
        <v>1</v>
      </c>
      <c r="D171" s="336">
        <f t="shared" ref="D171:Q186" si="54">D48*$C171</f>
        <v>6795</v>
      </c>
      <c r="E171" s="336">
        <f t="shared" si="54"/>
        <v>3500</v>
      </c>
      <c r="F171" s="336">
        <f t="shared" si="54"/>
        <v>3587.4999999999995</v>
      </c>
      <c r="G171" s="336">
        <f t="shared" si="54"/>
        <v>3677.1874999999991</v>
      </c>
      <c r="H171" s="336">
        <f t="shared" si="54"/>
        <v>3769.1171874999986</v>
      </c>
      <c r="I171" s="336">
        <f t="shared" si="54"/>
        <v>3863.3451171874981</v>
      </c>
      <c r="J171" s="336">
        <f t="shared" si="54"/>
        <v>2575</v>
      </c>
      <c r="K171" s="336">
        <f t="shared" si="54"/>
        <v>5200</v>
      </c>
      <c r="L171" s="336">
        <f t="shared" si="54"/>
        <v>5329.9999999999991</v>
      </c>
      <c r="M171" s="336">
        <f t="shared" si="54"/>
        <v>5463.2499999999982</v>
      </c>
      <c r="N171" s="336">
        <f t="shared" si="54"/>
        <v>5599.8312499999975</v>
      </c>
      <c r="O171" s="336">
        <f t="shared" si="54"/>
        <v>5739.8270312499972</v>
      </c>
      <c r="P171" s="336">
        <f t="shared" si="54"/>
        <v>5883.3227070312469</v>
      </c>
      <c r="Q171" s="336">
        <f t="shared" si="54"/>
        <v>6030.4057747070274</v>
      </c>
      <c r="R171" s="330">
        <f t="shared" si="42"/>
        <v>165</v>
      </c>
    </row>
    <row r="172" spans="1:18" x14ac:dyDescent="0.25">
      <c r="A172" s="330">
        <f t="shared" si="40"/>
        <v>166</v>
      </c>
      <c r="B172" s="364" t="s">
        <v>337</v>
      </c>
      <c r="C172" s="390">
        <f t="shared" si="52"/>
        <v>0</v>
      </c>
      <c r="D172" s="336">
        <f t="shared" si="54"/>
        <v>0</v>
      </c>
      <c r="E172" s="336">
        <f t="shared" si="54"/>
        <v>0</v>
      </c>
      <c r="F172" s="336">
        <f t="shared" si="54"/>
        <v>0</v>
      </c>
      <c r="G172" s="336">
        <f t="shared" si="54"/>
        <v>0</v>
      </c>
      <c r="H172" s="336">
        <f t="shared" si="54"/>
        <v>0</v>
      </c>
      <c r="I172" s="336">
        <f t="shared" si="54"/>
        <v>0</v>
      </c>
      <c r="J172" s="336">
        <f t="shared" si="54"/>
        <v>0</v>
      </c>
      <c r="K172" s="336">
        <f t="shared" si="54"/>
        <v>0</v>
      </c>
      <c r="L172" s="336">
        <f t="shared" si="54"/>
        <v>0</v>
      </c>
      <c r="M172" s="336">
        <f t="shared" si="54"/>
        <v>0</v>
      </c>
      <c r="N172" s="336">
        <f t="shared" si="54"/>
        <v>0</v>
      </c>
      <c r="O172" s="336">
        <f t="shared" si="54"/>
        <v>0</v>
      </c>
      <c r="P172" s="336">
        <f t="shared" si="54"/>
        <v>0</v>
      </c>
      <c r="Q172" s="336">
        <f t="shared" si="54"/>
        <v>0</v>
      </c>
      <c r="R172" s="330">
        <f t="shared" si="42"/>
        <v>166</v>
      </c>
    </row>
    <row r="173" spans="1:18" x14ac:dyDescent="0.25">
      <c r="A173" s="330">
        <f t="shared" si="40"/>
        <v>167</v>
      </c>
      <c r="B173" s="349" t="s">
        <v>338</v>
      </c>
      <c r="C173" s="390">
        <f t="shared" si="52"/>
        <v>1</v>
      </c>
      <c r="D173" s="336">
        <f t="shared" si="54"/>
        <v>17990.232000000004</v>
      </c>
      <c r="E173" s="336">
        <f t="shared" si="54"/>
        <v>16450</v>
      </c>
      <c r="F173" s="336">
        <f t="shared" si="54"/>
        <v>16861.25</v>
      </c>
      <c r="G173" s="336">
        <f t="shared" si="54"/>
        <v>17282.78125</v>
      </c>
      <c r="H173" s="336">
        <f t="shared" si="54"/>
        <v>17714.850781249999</v>
      </c>
      <c r="I173" s="336">
        <f t="shared" si="54"/>
        <v>18157.722050781249</v>
      </c>
      <c r="J173" s="336">
        <f t="shared" si="54"/>
        <v>18900</v>
      </c>
      <c r="K173" s="336">
        <f t="shared" si="54"/>
        <v>18000</v>
      </c>
      <c r="L173" s="336">
        <f t="shared" si="54"/>
        <v>18450</v>
      </c>
      <c r="M173" s="336">
        <f t="shared" si="54"/>
        <v>18911.25</v>
      </c>
      <c r="N173" s="336">
        <f t="shared" si="54"/>
        <v>19384.03125</v>
      </c>
      <c r="O173" s="336">
        <f t="shared" si="54"/>
        <v>19868.632031249999</v>
      </c>
      <c r="P173" s="336">
        <f t="shared" si="54"/>
        <v>20365.347832031246</v>
      </c>
      <c r="Q173" s="336">
        <f t="shared" si="54"/>
        <v>20874.481527832024</v>
      </c>
      <c r="R173" s="330">
        <f t="shared" si="42"/>
        <v>167</v>
      </c>
    </row>
    <row r="174" spans="1:18" x14ac:dyDescent="0.25">
      <c r="A174" s="330">
        <f t="shared" si="40"/>
        <v>168</v>
      </c>
      <c r="B174" s="349" t="s">
        <v>13</v>
      </c>
      <c r="C174" s="390">
        <f t="shared" si="52"/>
        <v>1</v>
      </c>
      <c r="D174" s="336">
        <f t="shared" si="54"/>
        <v>0</v>
      </c>
      <c r="E174" s="336">
        <f t="shared" si="54"/>
        <v>0</v>
      </c>
      <c r="F174" s="336">
        <f t="shared" si="54"/>
        <v>0</v>
      </c>
      <c r="G174" s="336">
        <f t="shared" si="54"/>
        <v>0</v>
      </c>
      <c r="H174" s="336">
        <f t="shared" si="54"/>
        <v>0</v>
      </c>
      <c r="I174" s="336">
        <f t="shared" si="54"/>
        <v>0</v>
      </c>
      <c r="J174" s="336">
        <f t="shared" si="54"/>
        <v>0</v>
      </c>
      <c r="K174" s="336">
        <f t="shared" si="54"/>
        <v>500</v>
      </c>
      <c r="L174" s="336">
        <f t="shared" si="54"/>
        <v>512.5</v>
      </c>
      <c r="M174" s="336">
        <f t="shared" si="54"/>
        <v>525.3125</v>
      </c>
      <c r="N174" s="336">
        <f t="shared" si="54"/>
        <v>538.4453125</v>
      </c>
      <c r="O174" s="336">
        <f t="shared" si="54"/>
        <v>551.90644531249995</v>
      </c>
      <c r="P174" s="336">
        <f t="shared" si="54"/>
        <v>565.70410644531239</v>
      </c>
      <c r="Q174" s="336">
        <f t="shared" si="54"/>
        <v>579.84670910644513</v>
      </c>
      <c r="R174" s="330">
        <f t="shared" si="42"/>
        <v>168</v>
      </c>
    </row>
    <row r="175" spans="1:18" x14ac:dyDescent="0.25">
      <c r="A175" s="330">
        <f t="shared" si="40"/>
        <v>169</v>
      </c>
      <c r="B175" s="349" t="s">
        <v>14</v>
      </c>
      <c r="C175" s="390">
        <f t="shared" si="52"/>
        <v>0</v>
      </c>
      <c r="D175" s="336">
        <f t="shared" si="54"/>
        <v>0</v>
      </c>
      <c r="E175" s="336">
        <f t="shared" si="54"/>
        <v>0</v>
      </c>
      <c r="F175" s="336">
        <f t="shared" si="54"/>
        <v>0</v>
      </c>
      <c r="G175" s="336">
        <f t="shared" si="54"/>
        <v>0</v>
      </c>
      <c r="H175" s="336">
        <f t="shared" si="54"/>
        <v>0</v>
      </c>
      <c r="I175" s="336">
        <f t="shared" si="54"/>
        <v>0</v>
      </c>
      <c r="J175" s="336">
        <f t="shared" si="54"/>
        <v>0</v>
      </c>
      <c r="K175" s="336">
        <f t="shared" si="54"/>
        <v>0</v>
      </c>
      <c r="L175" s="336">
        <f t="shared" si="54"/>
        <v>0</v>
      </c>
      <c r="M175" s="336">
        <f t="shared" si="54"/>
        <v>0</v>
      </c>
      <c r="N175" s="336">
        <f t="shared" si="54"/>
        <v>0</v>
      </c>
      <c r="O175" s="336">
        <f t="shared" si="54"/>
        <v>0</v>
      </c>
      <c r="P175" s="336">
        <f t="shared" si="54"/>
        <v>0</v>
      </c>
      <c r="Q175" s="336">
        <f t="shared" si="54"/>
        <v>0</v>
      </c>
      <c r="R175" s="330">
        <f t="shared" si="42"/>
        <v>169</v>
      </c>
    </row>
    <row r="176" spans="1:18" x14ac:dyDescent="0.25">
      <c r="A176" s="330">
        <f t="shared" si="40"/>
        <v>170</v>
      </c>
      <c r="B176" s="349" t="s">
        <v>15</v>
      </c>
      <c r="C176" s="390">
        <f t="shared" si="52"/>
        <v>1</v>
      </c>
      <c r="D176" s="336">
        <f t="shared" si="54"/>
        <v>8231.2559999999994</v>
      </c>
      <c r="E176" s="336">
        <f t="shared" si="54"/>
        <v>8200</v>
      </c>
      <c r="F176" s="336">
        <f t="shared" si="54"/>
        <v>8405</v>
      </c>
      <c r="G176" s="336">
        <f t="shared" si="54"/>
        <v>8615.125</v>
      </c>
      <c r="H176" s="336">
        <f t="shared" si="54"/>
        <v>8830.5031249999993</v>
      </c>
      <c r="I176" s="336">
        <f t="shared" si="54"/>
        <v>9051.2657031249983</v>
      </c>
      <c r="J176" s="336">
        <f t="shared" si="54"/>
        <v>12000</v>
      </c>
      <c r="K176" s="336">
        <f t="shared" si="54"/>
        <v>8000</v>
      </c>
      <c r="L176" s="336">
        <f t="shared" si="54"/>
        <v>8200</v>
      </c>
      <c r="M176" s="336">
        <f t="shared" si="54"/>
        <v>8405</v>
      </c>
      <c r="N176" s="336">
        <f t="shared" si="54"/>
        <v>8615.125</v>
      </c>
      <c r="O176" s="336">
        <f t="shared" si="54"/>
        <v>8830.5031249999993</v>
      </c>
      <c r="P176" s="336">
        <f t="shared" si="54"/>
        <v>9051.2657031249983</v>
      </c>
      <c r="Q176" s="336">
        <f t="shared" si="54"/>
        <v>9277.5473457031221</v>
      </c>
      <c r="R176" s="330">
        <f t="shared" si="42"/>
        <v>170</v>
      </c>
    </row>
    <row r="177" spans="1:18" x14ac:dyDescent="0.25">
      <c r="A177" s="330">
        <f t="shared" si="40"/>
        <v>171</v>
      </c>
      <c r="B177" s="349" t="s">
        <v>339</v>
      </c>
      <c r="C177" s="390">
        <f t="shared" si="52"/>
        <v>0</v>
      </c>
      <c r="D177" s="336">
        <f t="shared" si="54"/>
        <v>0</v>
      </c>
      <c r="E177" s="336">
        <f t="shared" si="54"/>
        <v>0</v>
      </c>
      <c r="F177" s="336">
        <f t="shared" si="54"/>
        <v>0</v>
      </c>
      <c r="G177" s="336">
        <f t="shared" si="54"/>
        <v>0</v>
      </c>
      <c r="H177" s="336">
        <f t="shared" si="54"/>
        <v>0</v>
      </c>
      <c r="I177" s="336">
        <f t="shared" si="54"/>
        <v>0</v>
      </c>
      <c r="J177" s="336">
        <f t="shared" si="54"/>
        <v>0</v>
      </c>
      <c r="K177" s="336">
        <f t="shared" si="54"/>
        <v>0</v>
      </c>
      <c r="L177" s="336">
        <f t="shared" si="54"/>
        <v>0</v>
      </c>
      <c r="M177" s="336">
        <f t="shared" si="54"/>
        <v>0</v>
      </c>
      <c r="N177" s="336">
        <f t="shared" si="54"/>
        <v>0</v>
      </c>
      <c r="O177" s="336">
        <f t="shared" si="54"/>
        <v>0</v>
      </c>
      <c r="P177" s="336">
        <f t="shared" si="54"/>
        <v>0</v>
      </c>
      <c r="Q177" s="336">
        <f t="shared" si="54"/>
        <v>0</v>
      </c>
      <c r="R177" s="330">
        <f t="shared" si="42"/>
        <v>171</v>
      </c>
    </row>
    <row r="178" spans="1:18" x14ac:dyDescent="0.25">
      <c r="A178" s="330">
        <f t="shared" si="40"/>
        <v>172</v>
      </c>
      <c r="B178" s="349" t="s">
        <v>16</v>
      </c>
      <c r="C178" s="390">
        <f t="shared" si="52"/>
        <v>0</v>
      </c>
      <c r="D178" s="336">
        <f t="shared" si="54"/>
        <v>0</v>
      </c>
      <c r="E178" s="336">
        <f t="shared" si="54"/>
        <v>0</v>
      </c>
      <c r="F178" s="336">
        <f t="shared" si="54"/>
        <v>0</v>
      </c>
      <c r="G178" s="336">
        <f t="shared" si="54"/>
        <v>0</v>
      </c>
      <c r="H178" s="336">
        <f t="shared" si="54"/>
        <v>0</v>
      </c>
      <c r="I178" s="336">
        <f t="shared" si="54"/>
        <v>0</v>
      </c>
      <c r="J178" s="336">
        <f t="shared" si="54"/>
        <v>0</v>
      </c>
      <c r="K178" s="336">
        <f t="shared" si="54"/>
        <v>0</v>
      </c>
      <c r="L178" s="336">
        <f t="shared" si="54"/>
        <v>0</v>
      </c>
      <c r="M178" s="336">
        <f t="shared" si="54"/>
        <v>0</v>
      </c>
      <c r="N178" s="336">
        <f t="shared" si="54"/>
        <v>0</v>
      </c>
      <c r="O178" s="336">
        <f t="shared" si="54"/>
        <v>0</v>
      </c>
      <c r="P178" s="336">
        <f t="shared" si="54"/>
        <v>0</v>
      </c>
      <c r="Q178" s="336">
        <f t="shared" si="54"/>
        <v>0</v>
      </c>
      <c r="R178" s="330">
        <f t="shared" si="42"/>
        <v>172</v>
      </c>
    </row>
    <row r="179" spans="1:18" x14ac:dyDescent="0.25">
      <c r="A179" s="330">
        <f t="shared" si="40"/>
        <v>173</v>
      </c>
      <c r="B179" s="349" t="s">
        <v>17</v>
      </c>
      <c r="C179" s="390">
        <f t="shared" si="52"/>
        <v>0</v>
      </c>
      <c r="D179" s="336">
        <f t="shared" si="54"/>
        <v>0</v>
      </c>
      <c r="E179" s="336">
        <f t="shared" si="54"/>
        <v>0</v>
      </c>
      <c r="F179" s="336">
        <f t="shared" si="54"/>
        <v>0</v>
      </c>
      <c r="G179" s="336">
        <f t="shared" si="54"/>
        <v>0</v>
      </c>
      <c r="H179" s="336">
        <f t="shared" si="54"/>
        <v>0</v>
      </c>
      <c r="I179" s="336">
        <f t="shared" si="54"/>
        <v>0</v>
      </c>
      <c r="J179" s="336">
        <f t="shared" si="54"/>
        <v>0</v>
      </c>
      <c r="K179" s="336">
        <f t="shared" si="54"/>
        <v>0</v>
      </c>
      <c r="L179" s="336">
        <f t="shared" si="54"/>
        <v>0</v>
      </c>
      <c r="M179" s="336">
        <f t="shared" si="54"/>
        <v>0</v>
      </c>
      <c r="N179" s="336">
        <f t="shared" si="54"/>
        <v>0</v>
      </c>
      <c r="O179" s="336">
        <f t="shared" si="54"/>
        <v>0</v>
      </c>
      <c r="P179" s="336">
        <f t="shared" si="54"/>
        <v>0</v>
      </c>
      <c r="Q179" s="336">
        <f t="shared" si="54"/>
        <v>0</v>
      </c>
      <c r="R179" s="330">
        <f t="shared" si="42"/>
        <v>173</v>
      </c>
    </row>
    <row r="180" spans="1:18" x14ac:dyDescent="0.25">
      <c r="A180" s="330">
        <f t="shared" si="40"/>
        <v>174</v>
      </c>
      <c r="B180" s="349" t="s">
        <v>18</v>
      </c>
      <c r="C180" s="390">
        <f t="shared" si="52"/>
        <v>0</v>
      </c>
      <c r="D180" s="336">
        <f t="shared" si="54"/>
        <v>0</v>
      </c>
      <c r="E180" s="336">
        <f t="shared" si="54"/>
        <v>0</v>
      </c>
      <c r="F180" s="336">
        <f t="shared" si="54"/>
        <v>0</v>
      </c>
      <c r="G180" s="336">
        <f t="shared" si="54"/>
        <v>0</v>
      </c>
      <c r="H180" s="336">
        <f t="shared" si="54"/>
        <v>0</v>
      </c>
      <c r="I180" s="336">
        <f t="shared" si="54"/>
        <v>0</v>
      </c>
      <c r="J180" s="336">
        <f t="shared" si="54"/>
        <v>0</v>
      </c>
      <c r="K180" s="336">
        <f t="shared" si="54"/>
        <v>0</v>
      </c>
      <c r="L180" s="336">
        <f t="shared" si="54"/>
        <v>0</v>
      </c>
      <c r="M180" s="336">
        <f t="shared" si="54"/>
        <v>0</v>
      </c>
      <c r="N180" s="336">
        <f t="shared" si="54"/>
        <v>0</v>
      </c>
      <c r="O180" s="336">
        <f t="shared" si="54"/>
        <v>0</v>
      </c>
      <c r="P180" s="336">
        <f t="shared" si="54"/>
        <v>0</v>
      </c>
      <c r="Q180" s="336">
        <f t="shared" si="54"/>
        <v>0</v>
      </c>
      <c r="R180" s="330">
        <f t="shared" si="42"/>
        <v>174</v>
      </c>
    </row>
    <row r="181" spans="1:18" x14ac:dyDescent="0.25">
      <c r="A181" s="330">
        <f t="shared" si="40"/>
        <v>175</v>
      </c>
      <c r="B181" s="349" t="s">
        <v>340</v>
      </c>
      <c r="C181" s="390">
        <f t="shared" si="52"/>
        <v>0</v>
      </c>
      <c r="D181" s="336">
        <f t="shared" si="54"/>
        <v>0</v>
      </c>
      <c r="E181" s="336">
        <f t="shared" si="54"/>
        <v>0</v>
      </c>
      <c r="F181" s="336">
        <f t="shared" si="54"/>
        <v>0</v>
      </c>
      <c r="G181" s="336">
        <f t="shared" si="54"/>
        <v>0</v>
      </c>
      <c r="H181" s="336">
        <f t="shared" si="54"/>
        <v>0</v>
      </c>
      <c r="I181" s="336">
        <f t="shared" si="54"/>
        <v>0</v>
      </c>
      <c r="J181" s="336">
        <f t="shared" si="54"/>
        <v>0</v>
      </c>
      <c r="K181" s="336">
        <f t="shared" si="54"/>
        <v>0</v>
      </c>
      <c r="L181" s="336">
        <f t="shared" si="54"/>
        <v>0</v>
      </c>
      <c r="M181" s="336">
        <f t="shared" si="54"/>
        <v>0</v>
      </c>
      <c r="N181" s="336">
        <f t="shared" si="54"/>
        <v>0</v>
      </c>
      <c r="O181" s="336">
        <f t="shared" si="54"/>
        <v>0</v>
      </c>
      <c r="P181" s="336">
        <f t="shared" si="54"/>
        <v>0</v>
      </c>
      <c r="Q181" s="336">
        <f t="shared" si="54"/>
        <v>0</v>
      </c>
      <c r="R181" s="330">
        <f t="shared" si="42"/>
        <v>175</v>
      </c>
    </row>
    <row r="182" spans="1:18" x14ac:dyDescent="0.25">
      <c r="A182" s="330">
        <f t="shared" si="40"/>
        <v>176</v>
      </c>
      <c r="B182" s="349" t="s">
        <v>19</v>
      </c>
      <c r="C182" s="390">
        <f t="shared" si="52"/>
        <v>0</v>
      </c>
      <c r="D182" s="336">
        <f t="shared" si="54"/>
        <v>0</v>
      </c>
      <c r="E182" s="336">
        <f t="shared" si="54"/>
        <v>0</v>
      </c>
      <c r="F182" s="336">
        <f t="shared" si="54"/>
        <v>0</v>
      </c>
      <c r="G182" s="336">
        <f t="shared" si="54"/>
        <v>0</v>
      </c>
      <c r="H182" s="336">
        <f t="shared" si="54"/>
        <v>0</v>
      </c>
      <c r="I182" s="336">
        <f t="shared" si="54"/>
        <v>0</v>
      </c>
      <c r="J182" s="336">
        <f t="shared" si="54"/>
        <v>0</v>
      </c>
      <c r="K182" s="336">
        <f t="shared" si="54"/>
        <v>0</v>
      </c>
      <c r="L182" s="336">
        <f t="shared" si="54"/>
        <v>0</v>
      </c>
      <c r="M182" s="336">
        <f t="shared" si="54"/>
        <v>0</v>
      </c>
      <c r="N182" s="336">
        <f t="shared" si="54"/>
        <v>0</v>
      </c>
      <c r="O182" s="336">
        <f t="shared" si="54"/>
        <v>0</v>
      </c>
      <c r="P182" s="336">
        <f t="shared" si="54"/>
        <v>0</v>
      </c>
      <c r="Q182" s="336">
        <f t="shared" si="54"/>
        <v>0</v>
      </c>
      <c r="R182" s="330">
        <f t="shared" si="42"/>
        <v>176</v>
      </c>
    </row>
    <row r="183" spans="1:18" x14ac:dyDescent="0.25">
      <c r="A183" s="330">
        <f t="shared" si="40"/>
        <v>177</v>
      </c>
      <c r="B183" s="349" t="s">
        <v>20</v>
      </c>
      <c r="C183" s="390">
        <f t="shared" si="52"/>
        <v>0</v>
      </c>
      <c r="D183" s="336">
        <f t="shared" si="54"/>
        <v>0</v>
      </c>
      <c r="E183" s="336">
        <f t="shared" si="54"/>
        <v>0</v>
      </c>
      <c r="F183" s="336">
        <f t="shared" si="54"/>
        <v>0</v>
      </c>
      <c r="G183" s="336">
        <f t="shared" si="54"/>
        <v>0</v>
      </c>
      <c r="H183" s="336">
        <f t="shared" si="54"/>
        <v>0</v>
      </c>
      <c r="I183" s="336">
        <f t="shared" si="54"/>
        <v>0</v>
      </c>
      <c r="J183" s="336">
        <f t="shared" si="54"/>
        <v>0</v>
      </c>
      <c r="K183" s="336">
        <f t="shared" si="54"/>
        <v>0</v>
      </c>
      <c r="L183" s="336">
        <f t="shared" si="54"/>
        <v>0</v>
      </c>
      <c r="M183" s="336">
        <f t="shared" si="54"/>
        <v>0</v>
      </c>
      <c r="N183" s="336">
        <f t="shared" si="54"/>
        <v>0</v>
      </c>
      <c r="O183" s="336">
        <f t="shared" si="54"/>
        <v>0</v>
      </c>
      <c r="P183" s="336">
        <f t="shared" si="54"/>
        <v>0</v>
      </c>
      <c r="Q183" s="336">
        <f t="shared" si="54"/>
        <v>0</v>
      </c>
      <c r="R183" s="330">
        <f t="shared" si="42"/>
        <v>177</v>
      </c>
    </row>
    <row r="184" spans="1:18" x14ac:dyDescent="0.25">
      <c r="A184" s="330">
        <f t="shared" si="40"/>
        <v>178</v>
      </c>
      <c r="B184" s="349" t="s">
        <v>21</v>
      </c>
      <c r="C184" s="390">
        <f t="shared" si="52"/>
        <v>0</v>
      </c>
      <c r="D184" s="336">
        <f t="shared" si="54"/>
        <v>0</v>
      </c>
      <c r="E184" s="336">
        <f t="shared" si="54"/>
        <v>0</v>
      </c>
      <c r="F184" s="336">
        <f t="shared" si="54"/>
        <v>0</v>
      </c>
      <c r="G184" s="336">
        <f t="shared" si="54"/>
        <v>0</v>
      </c>
      <c r="H184" s="336">
        <f t="shared" si="54"/>
        <v>0</v>
      </c>
      <c r="I184" s="336">
        <f t="shared" si="54"/>
        <v>0</v>
      </c>
      <c r="J184" s="336">
        <f t="shared" si="54"/>
        <v>0</v>
      </c>
      <c r="K184" s="336">
        <f t="shared" si="54"/>
        <v>0</v>
      </c>
      <c r="L184" s="336">
        <f t="shared" si="54"/>
        <v>0</v>
      </c>
      <c r="M184" s="336">
        <f t="shared" si="54"/>
        <v>0</v>
      </c>
      <c r="N184" s="336">
        <f t="shared" si="54"/>
        <v>0</v>
      </c>
      <c r="O184" s="336">
        <f t="shared" si="54"/>
        <v>0</v>
      </c>
      <c r="P184" s="336">
        <f t="shared" si="54"/>
        <v>0</v>
      </c>
      <c r="Q184" s="336">
        <f t="shared" si="54"/>
        <v>0</v>
      </c>
      <c r="R184" s="330">
        <f t="shared" si="42"/>
        <v>178</v>
      </c>
    </row>
    <row r="185" spans="1:18" x14ac:dyDescent="0.25">
      <c r="A185" s="330">
        <f t="shared" si="40"/>
        <v>179</v>
      </c>
      <c r="B185" s="359" t="s">
        <v>22</v>
      </c>
      <c r="C185" s="390">
        <f t="shared" si="52"/>
        <v>0.5</v>
      </c>
      <c r="D185" s="336">
        <f t="shared" si="54"/>
        <v>3460.1880000000001</v>
      </c>
      <c r="E185" s="336">
        <f t="shared" si="54"/>
        <v>3475</v>
      </c>
      <c r="F185" s="336">
        <f t="shared" si="54"/>
        <v>3561.8749999999995</v>
      </c>
      <c r="G185" s="336">
        <f t="shared" si="54"/>
        <v>3650.9218749999991</v>
      </c>
      <c r="H185" s="336">
        <f t="shared" si="54"/>
        <v>3742.1949218749987</v>
      </c>
      <c r="I185" s="336">
        <f t="shared" si="54"/>
        <v>3835.7497949218732</v>
      </c>
      <c r="J185" s="336">
        <f t="shared" si="54"/>
        <v>1990.5</v>
      </c>
      <c r="K185" s="336">
        <f t="shared" si="54"/>
        <v>3025</v>
      </c>
      <c r="L185" s="336">
        <f t="shared" si="54"/>
        <v>3100.6249999999995</v>
      </c>
      <c r="M185" s="336">
        <f t="shared" si="54"/>
        <v>3178.1406249999991</v>
      </c>
      <c r="N185" s="336">
        <f t="shared" si="54"/>
        <v>3257.594140624999</v>
      </c>
      <c r="O185" s="336">
        <f t="shared" si="54"/>
        <v>3339.0339941406237</v>
      </c>
      <c r="P185" s="336">
        <f t="shared" si="54"/>
        <v>3422.5098439941389</v>
      </c>
      <c r="Q185" s="336">
        <f t="shared" si="54"/>
        <v>3508.0725900939919</v>
      </c>
      <c r="R185" s="330">
        <f t="shared" si="42"/>
        <v>179</v>
      </c>
    </row>
    <row r="186" spans="1:18" x14ac:dyDescent="0.25">
      <c r="A186" s="330">
        <f t="shared" si="40"/>
        <v>180</v>
      </c>
      <c r="B186" s="359" t="s">
        <v>341</v>
      </c>
      <c r="C186" s="390">
        <f t="shared" si="52"/>
        <v>0</v>
      </c>
      <c r="D186" s="336">
        <f t="shared" si="54"/>
        <v>0</v>
      </c>
      <c r="E186" s="336">
        <f t="shared" si="54"/>
        <v>0</v>
      </c>
      <c r="F186" s="336">
        <f t="shared" si="54"/>
        <v>0</v>
      </c>
      <c r="G186" s="336">
        <f t="shared" si="54"/>
        <v>0</v>
      </c>
      <c r="H186" s="336">
        <f t="shared" si="54"/>
        <v>0</v>
      </c>
      <c r="I186" s="336">
        <f t="shared" si="54"/>
        <v>0</v>
      </c>
      <c r="J186" s="336">
        <f t="shared" si="54"/>
        <v>0</v>
      </c>
      <c r="K186" s="336">
        <f t="shared" si="54"/>
        <v>0</v>
      </c>
      <c r="L186" s="336">
        <f t="shared" si="54"/>
        <v>0</v>
      </c>
      <c r="M186" s="336">
        <f t="shared" si="54"/>
        <v>0</v>
      </c>
      <c r="N186" s="336">
        <f t="shared" si="54"/>
        <v>0</v>
      </c>
      <c r="O186" s="336">
        <f t="shared" si="54"/>
        <v>0</v>
      </c>
      <c r="P186" s="336">
        <f t="shared" si="54"/>
        <v>0</v>
      </c>
      <c r="Q186" s="336">
        <f t="shared" si="54"/>
        <v>0</v>
      </c>
      <c r="R186" s="330">
        <f t="shared" si="42"/>
        <v>180</v>
      </c>
    </row>
    <row r="187" spans="1:18" x14ac:dyDescent="0.25">
      <c r="A187" s="330">
        <f t="shared" si="40"/>
        <v>181</v>
      </c>
      <c r="B187" s="349" t="s">
        <v>342</v>
      </c>
      <c r="C187" s="390">
        <f t="shared" si="52"/>
        <v>0</v>
      </c>
      <c r="D187" s="336">
        <f t="shared" ref="D187:Q189" si="55">D64*$C187</f>
        <v>0</v>
      </c>
      <c r="E187" s="336">
        <f t="shared" si="55"/>
        <v>0</v>
      </c>
      <c r="F187" s="336">
        <f t="shared" si="55"/>
        <v>0</v>
      </c>
      <c r="G187" s="336">
        <f t="shared" si="55"/>
        <v>0</v>
      </c>
      <c r="H187" s="336">
        <f t="shared" si="55"/>
        <v>0</v>
      </c>
      <c r="I187" s="336">
        <f t="shared" si="55"/>
        <v>0</v>
      </c>
      <c r="J187" s="336">
        <f t="shared" si="55"/>
        <v>0</v>
      </c>
      <c r="K187" s="336">
        <f t="shared" si="55"/>
        <v>0</v>
      </c>
      <c r="L187" s="336">
        <f t="shared" si="55"/>
        <v>0</v>
      </c>
      <c r="M187" s="336">
        <f t="shared" si="55"/>
        <v>0</v>
      </c>
      <c r="N187" s="336">
        <f t="shared" si="55"/>
        <v>0</v>
      </c>
      <c r="O187" s="336">
        <f t="shared" si="55"/>
        <v>0</v>
      </c>
      <c r="P187" s="336">
        <f t="shared" si="55"/>
        <v>0</v>
      </c>
      <c r="Q187" s="336">
        <f t="shared" si="55"/>
        <v>0</v>
      </c>
      <c r="R187" s="330">
        <f t="shared" si="42"/>
        <v>181</v>
      </c>
    </row>
    <row r="188" spans="1:18" x14ac:dyDescent="0.25">
      <c r="A188" s="330">
        <f t="shared" si="40"/>
        <v>182</v>
      </c>
      <c r="B188" s="349" t="s">
        <v>343</v>
      </c>
      <c r="C188" s="390">
        <f t="shared" si="52"/>
        <v>0</v>
      </c>
      <c r="D188" s="336">
        <f t="shared" si="55"/>
        <v>0</v>
      </c>
      <c r="E188" s="336">
        <f t="shared" si="55"/>
        <v>0</v>
      </c>
      <c r="F188" s="336">
        <f t="shared" si="55"/>
        <v>0</v>
      </c>
      <c r="G188" s="336">
        <f t="shared" si="55"/>
        <v>0</v>
      </c>
      <c r="H188" s="336">
        <f t="shared" si="55"/>
        <v>0</v>
      </c>
      <c r="I188" s="336">
        <f t="shared" si="55"/>
        <v>0</v>
      </c>
      <c r="J188" s="336">
        <f t="shared" si="55"/>
        <v>0</v>
      </c>
      <c r="K188" s="336">
        <f t="shared" si="55"/>
        <v>0</v>
      </c>
      <c r="L188" s="336">
        <f t="shared" si="55"/>
        <v>0</v>
      </c>
      <c r="M188" s="336">
        <f t="shared" si="55"/>
        <v>0</v>
      </c>
      <c r="N188" s="336">
        <f t="shared" si="55"/>
        <v>0</v>
      </c>
      <c r="O188" s="336">
        <f t="shared" si="55"/>
        <v>0</v>
      </c>
      <c r="P188" s="336">
        <f t="shared" si="55"/>
        <v>0</v>
      </c>
      <c r="Q188" s="336">
        <f t="shared" si="55"/>
        <v>0</v>
      </c>
      <c r="R188" s="330">
        <f t="shared" si="42"/>
        <v>182</v>
      </c>
    </row>
    <row r="189" spans="1:18" x14ac:dyDescent="0.25">
      <c r="A189" s="330">
        <f t="shared" si="40"/>
        <v>183</v>
      </c>
      <c r="B189" s="349" t="s">
        <v>23</v>
      </c>
      <c r="C189" s="390">
        <f t="shared" si="52"/>
        <v>0</v>
      </c>
      <c r="D189" s="336">
        <f t="shared" si="55"/>
        <v>0</v>
      </c>
      <c r="E189" s="336">
        <f t="shared" si="55"/>
        <v>0</v>
      </c>
      <c r="F189" s="336">
        <f t="shared" si="55"/>
        <v>0</v>
      </c>
      <c r="G189" s="336">
        <f t="shared" si="55"/>
        <v>0</v>
      </c>
      <c r="H189" s="336">
        <f t="shared" si="55"/>
        <v>0</v>
      </c>
      <c r="I189" s="336">
        <f t="shared" si="55"/>
        <v>0</v>
      </c>
      <c r="J189" s="336">
        <f t="shared" si="55"/>
        <v>0</v>
      </c>
      <c r="K189" s="336">
        <f t="shared" si="55"/>
        <v>0</v>
      </c>
      <c r="L189" s="336">
        <f t="shared" si="55"/>
        <v>0</v>
      </c>
      <c r="M189" s="336">
        <f t="shared" si="55"/>
        <v>0</v>
      </c>
      <c r="N189" s="336">
        <f t="shared" si="55"/>
        <v>0</v>
      </c>
      <c r="O189" s="336">
        <f t="shared" si="55"/>
        <v>0</v>
      </c>
      <c r="P189" s="336">
        <f t="shared" si="55"/>
        <v>0</v>
      </c>
      <c r="Q189" s="336">
        <f t="shared" si="55"/>
        <v>0</v>
      </c>
      <c r="R189" s="330">
        <f t="shared" si="42"/>
        <v>183</v>
      </c>
    </row>
    <row r="190" spans="1:18" x14ac:dyDescent="0.25">
      <c r="A190" s="330">
        <f t="shared" si="40"/>
        <v>184</v>
      </c>
      <c r="B190" s="367" t="s">
        <v>345</v>
      </c>
      <c r="C190" s="384"/>
      <c r="D190" s="392">
        <f t="shared" ref="D190:Q190" si="56">SUM(D169:D189)</f>
        <v>36476.676000000007</v>
      </c>
      <c r="E190" s="392">
        <f t="shared" si="56"/>
        <v>31625</v>
      </c>
      <c r="F190" s="392">
        <f t="shared" si="56"/>
        <v>32415.625</v>
      </c>
      <c r="G190" s="392">
        <f t="shared" si="56"/>
        <v>33226.015625</v>
      </c>
      <c r="H190" s="392">
        <f t="shared" si="56"/>
        <v>34056.666015625</v>
      </c>
      <c r="I190" s="392">
        <f t="shared" si="56"/>
        <v>34908.082666015616</v>
      </c>
      <c r="J190" s="392">
        <f t="shared" si="56"/>
        <v>35465.5</v>
      </c>
      <c r="K190" s="392">
        <f t="shared" si="56"/>
        <v>34725</v>
      </c>
      <c r="L190" s="392">
        <f t="shared" si="56"/>
        <v>35593.125</v>
      </c>
      <c r="M190" s="392">
        <f t="shared" si="56"/>
        <v>36482.953125</v>
      </c>
      <c r="N190" s="392">
        <f t="shared" si="56"/>
        <v>37395.026953124994</v>
      </c>
      <c r="O190" s="392">
        <f t="shared" si="56"/>
        <v>38329.902626953117</v>
      </c>
      <c r="P190" s="392">
        <f t="shared" si="56"/>
        <v>39288.150192626941</v>
      </c>
      <c r="Q190" s="392">
        <f t="shared" si="56"/>
        <v>40270.353947442614</v>
      </c>
      <c r="R190" s="330">
        <f t="shared" si="42"/>
        <v>184</v>
      </c>
    </row>
    <row r="191" spans="1:18" ht="15.75" thickBot="1" x14ac:dyDescent="0.3">
      <c r="A191" s="330">
        <f t="shared" si="40"/>
        <v>185</v>
      </c>
      <c r="B191" s="359"/>
      <c r="C191" s="390"/>
      <c r="D191" s="350"/>
      <c r="E191" s="350"/>
      <c r="F191" s="350"/>
      <c r="G191" s="350"/>
      <c r="H191" s="350"/>
      <c r="I191" s="350"/>
      <c r="J191" s="350"/>
      <c r="K191" s="350"/>
      <c r="L191" s="350"/>
      <c r="M191" s="350"/>
      <c r="N191" s="350"/>
      <c r="O191" s="350"/>
      <c r="P191" s="350"/>
      <c r="Q191" s="350"/>
      <c r="R191" s="330">
        <f t="shared" si="42"/>
        <v>185</v>
      </c>
    </row>
    <row r="192" spans="1:18" x14ac:dyDescent="0.25">
      <c r="A192" s="330">
        <f t="shared" si="40"/>
        <v>186</v>
      </c>
      <c r="B192" s="396" t="s">
        <v>346</v>
      </c>
      <c r="C192" s="397"/>
      <c r="D192" s="397"/>
      <c r="E192" s="398"/>
      <c r="F192" s="397"/>
      <c r="G192" s="397"/>
      <c r="H192" s="397"/>
      <c r="I192" s="397"/>
      <c r="J192" s="397"/>
      <c r="K192" s="397"/>
      <c r="L192" s="397"/>
      <c r="M192" s="397"/>
      <c r="N192" s="397"/>
      <c r="O192" s="397"/>
      <c r="P192" s="397"/>
      <c r="Q192" s="397"/>
      <c r="R192" s="330">
        <f t="shared" si="42"/>
        <v>186</v>
      </c>
    </row>
    <row r="193" spans="1:18" x14ac:dyDescent="0.25">
      <c r="A193" s="330">
        <f t="shared" si="40"/>
        <v>187</v>
      </c>
      <c r="B193" s="349" t="s">
        <v>26</v>
      </c>
      <c r="C193" s="390">
        <f t="shared" ref="C193:C210" si="57">1-C133</f>
        <v>1</v>
      </c>
      <c r="D193" s="350">
        <f t="shared" ref="D193:Q197" si="58">D72*$C193</f>
        <v>5218.1399999999994</v>
      </c>
      <c r="E193" s="350">
        <f t="shared" si="58"/>
        <v>5250</v>
      </c>
      <c r="F193" s="350">
        <f t="shared" si="58"/>
        <v>5381.2499999999991</v>
      </c>
      <c r="G193" s="350">
        <f t="shared" si="58"/>
        <v>5515.7812499999982</v>
      </c>
      <c r="H193" s="350">
        <f t="shared" si="58"/>
        <v>5653.6757812499973</v>
      </c>
      <c r="I193" s="350">
        <f t="shared" si="58"/>
        <v>5795.0176757812469</v>
      </c>
      <c r="J193" s="350">
        <f t="shared" si="58"/>
        <v>5000</v>
      </c>
      <c r="K193" s="350">
        <f t="shared" si="58"/>
        <v>5000</v>
      </c>
      <c r="L193" s="350">
        <f t="shared" si="58"/>
        <v>5125</v>
      </c>
      <c r="M193" s="350">
        <f t="shared" si="58"/>
        <v>5253.1249999999991</v>
      </c>
      <c r="N193" s="350">
        <f t="shared" si="58"/>
        <v>5384.4531249999982</v>
      </c>
      <c r="O193" s="350">
        <f t="shared" si="58"/>
        <v>5519.0644531249973</v>
      </c>
      <c r="P193" s="350">
        <f t="shared" si="58"/>
        <v>5657.0410644531221</v>
      </c>
      <c r="Q193" s="350">
        <f t="shared" si="58"/>
        <v>5798.46709106445</v>
      </c>
      <c r="R193" s="330">
        <f t="shared" si="42"/>
        <v>187</v>
      </c>
    </row>
    <row r="194" spans="1:18" x14ac:dyDescent="0.25">
      <c r="A194" s="330">
        <f t="shared" si="40"/>
        <v>188</v>
      </c>
      <c r="B194" s="364" t="s">
        <v>27</v>
      </c>
      <c r="C194" s="390">
        <f t="shared" si="57"/>
        <v>0</v>
      </c>
      <c r="D194" s="350">
        <f t="shared" si="58"/>
        <v>0</v>
      </c>
      <c r="E194" s="350">
        <f t="shared" si="58"/>
        <v>0</v>
      </c>
      <c r="F194" s="350">
        <f t="shared" si="58"/>
        <v>0</v>
      </c>
      <c r="G194" s="350">
        <f t="shared" si="58"/>
        <v>0</v>
      </c>
      <c r="H194" s="350">
        <f t="shared" si="58"/>
        <v>0</v>
      </c>
      <c r="I194" s="350">
        <f t="shared" si="58"/>
        <v>0</v>
      </c>
      <c r="J194" s="350">
        <f t="shared" si="58"/>
        <v>0</v>
      </c>
      <c r="K194" s="350">
        <f t="shared" si="58"/>
        <v>0</v>
      </c>
      <c r="L194" s="350">
        <f t="shared" si="58"/>
        <v>0</v>
      </c>
      <c r="M194" s="350">
        <f t="shared" si="58"/>
        <v>0</v>
      </c>
      <c r="N194" s="350">
        <f t="shared" si="58"/>
        <v>0</v>
      </c>
      <c r="O194" s="350">
        <f t="shared" si="58"/>
        <v>0</v>
      </c>
      <c r="P194" s="350">
        <f t="shared" si="58"/>
        <v>0</v>
      </c>
      <c r="Q194" s="350">
        <f t="shared" si="58"/>
        <v>0</v>
      </c>
      <c r="R194" s="330">
        <f t="shared" si="42"/>
        <v>188</v>
      </c>
    </row>
    <row r="195" spans="1:18" x14ac:dyDescent="0.25">
      <c r="A195" s="330">
        <f t="shared" si="40"/>
        <v>189</v>
      </c>
      <c r="B195" s="349" t="s">
        <v>28</v>
      </c>
      <c r="C195" s="390">
        <f t="shared" si="57"/>
        <v>1</v>
      </c>
      <c r="D195" s="350">
        <f t="shared" si="58"/>
        <v>10353.252</v>
      </c>
      <c r="E195" s="350">
        <f t="shared" si="58"/>
        <v>10000</v>
      </c>
      <c r="F195" s="350">
        <f t="shared" si="58"/>
        <v>10250</v>
      </c>
      <c r="G195" s="350">
        <f t="shared" si="58"/>
        <v>10506.249999999998</v>
      </c>
      <c r="H195" s="350">
        <f t="shared" si="58"/>
        <v>10768.906249999996</v>
      </c>
      <c r="I195" s="350">
        <f t="shared" si="58"/>
        <v>11038.128906249995</v>
      </c>
      <c r="J195" s="350">
        <f t="shared" si="58"/>
        <v>1000</v>
      </c>
      <c r="K195" s="350">
        <f t="shared" si="58"/>
        <v>1500</v>
      </c>
      <c r="L195" s="350">
        <f t="shared" si="58"/>
        <v>1537.4999999999998</v>
      </c>
      <c r="M195" s="350">
        <f t="shared" si="58"/>
        <v>1575.9374999999995</v>
      </c>
      <c r="N195" s="350">
        <f t="shared" si="58"/>
        <v>1615.3359374999993</v>
      </c>
      <c r="O195" s="350">
        <f t="shared" si="58"/>
        <v>1655.7193359374992</v>
      </c>
      <c r="P195" s="350">
        <f t="shared" si="58"/>
        <v>1697.1123193359365</v>
      </c>
      <c r="Q195" s="350">
        <f t="shared" si="58"/>
        <v>1739.5401273193347</v>
      </c>
      <c r="R195" s="330">
        <f t="shared" si="42"/>
        <v>189</v>
      </c>
    </row>
    <row r="196" spans="1:18" x14ac:dyDescent="0.25">
      <c r="A196" s="330">
        <f t="shared" si="40"/>
        <v>190</v>
      </c>
      <c r="B196" s="349" t="s">
        <v>29</v>
      </c>
      <c r="C196" s="390">
        <f t="shared" si="57"/>
        <v>1</v>
      </c>
      <c r="D196" s="350">
        <f t="shared" si="58"/>
        <v>1215.5999999999999</v>
      </c>
      <c r="E196" s="350">
        <f t="shared" si="58"/>
        <v>1064</v>
      </c>
      <c r="F196" s="350">
        <f t="shared" si="58"/>
        <v>1090.5999999999999</v>
      </c>
      <c r="G196" s="350">
        <f t="shared" si="58"/>
        <v>1117.8649999999998</v>
      </c>
      <c r="H196" s="350">
        <f t="shared" si="58"/>
        <v>1145.8116249999996</v>
      </c>
      <c r="I196" s="350">
        <f t="shared" si="58"/>
        <v>1174.4569156249995</v>
      </c>
      <c r="J196" s="350">
        <f t="shared" si="58"/>
        <v>2300</v>
      </c>
      <c r="K196" s="350">
        <f t="shared" si="58"/>
        <v>3500</v>
      </c>
      <c r="L196" s="350">
        <f t="shared" si="58"/>
        <v>3587.4999999999995</v>
      </c>
      <c r="M196" s="350">
        <f t="shared" si="58"/>
        <v>3677.1874999999991</v>
      </c>
      <c r="N196" s="350">
        <f t="shared" si="58"/>
        <v>3769.1171874999986</v>
      </c>
      <c r="O196" s="350">
        <f t="shared" si="58"/>
        <v>3863.3451171874981</v>
      </c>
      <c r="P196" s="350">
        <f t="shared" si="58"/>
        <v>3959.9287451171854</v>
      </c>
      <c r="Q196" s="350">
        <f t="shared" si="58"/>
        <v>4058.9269637451148</v>
      </c>
      <c r="R196" s="330">
        <f t="shared" si="42"/>
        <v>190</v>
      </c>
    </row>
    <row r="197" spans="1:18" x14ac:dyDescent="0.25">
      <c r="A197" s="330">
        <f t="shared" si="40"/>
        <v>191</v>
      </c>
      <c r="B197" s="349" t="s">
        <v>30</v>
      </c>
      <c r="C197" s="390">
        <f t="shared" si="57"/>
        <v>0</v>
      </c>
      <c r="D197" s="350">
        <f t="shared" si="58"/>
        <v>0</v>
      </c>
      <c r="E197" s="350">
        <f t="shared" si="58"/>
        <v>0</v>
      </c>
      <c r="F197" s="350">
        <f t="shared" si="58"/>
        <v>0</v>
      </c>
      <c r="G197" s="350">
        <f t="shared" si="58"/>
        <v>0</v>
      </c>
      <c r="H197" s="350">
        <f t="shared" si="58"/>
        <v>0</v>
      </c>
      <c r="I197" s="350">
        <f t="shared" si="58"/>
        <v>0</v>
      </c>
      <c r="J197" s="350">
        <f t="shared" si="58"/>
        <v>0</v>
      </c>
      <c r="K197" s="350">
        <f t="shared" si="58"/>
        <v>0</v>
      </c>
      <c r="L197" s="350">
        <f t="shared" si="58"/>
        <v>0</v>
      </c>
      <c r="M197" s="350">
        <f t="shared" si="58"/>
        <v>0</v>
      </c>
      <c r="N197" s="350">
        <f t="shared" si="58"/>
        <v>0</v>
      </c>
      <c r="O197" s="350">
        <f t="shared" si="58"/>
        <v>0</v>
      </c>
      <c r="P197" s="350">
        <f t="shared" si="58"/>
        <v>0</v>
      </c>
      <c r="Q197" s="350">
        <f t="shared" si="58"/>
        <v>0</v>
      </c>
      <c r="R197" s="330">
        <f t="shared" si="42"/>
        <v>191</v>
      </c>
    </row>
    <row r="198" spans="1:18" x14ac:dyDescent="0.25">
      <c r="A198" s="330">
        <f t="shared" ref="A198:A213" si="59">A197+1</f>
        <v>192</v>
      </c>
      <c r="B198" s="349" t="s">
        <v>50</v>
      </c>
      <c r="C198" s="390">
        <f t="shared" si="57"/>
        <v>1</v>
      </c>
      <c r="D198" s="350">
        <f t="shared" ref="D198:Q202" si="60">D78*$C198</f>
        <v>192</v>
      </c>
      <c r="E198" s="350">
        <f t="shared" si="60"/>
        <v>0</v>
      </c>
      <c r="F198" s="350">
        <f t="shared" si="60"/>
        <v>0</v>
      </c>
      <c r="G198" s="350">
        <f t="shared" si="60"/>
        <v>0</v>
      </c>
      <c r="H198" s="350">
        <f t="shared" si="60"/>
        <v>0</v>
      </c>
      <c r="I198" s="350">
        <f t="shared" si="60"/>
        <v>0</v>
      </c>
      <c r="J198" s="350">
        <f t="shared" si="60"/>
        <v>0</v>
      </c>
      <c r="K198" s="350">
        <f t="shared" si="60"/>
        <v>0</v>
      </c>
      <c r="L198" s="350">
        <f t="shared" si="60"/>
        <v>0</v>
      </c>
      <c r="M198" s="350">
        <f t="shared" si="60"/>
        <v>0</v>
      </c>
      <c r="N198" s="350">
        <f t="shared" si="60"/>
        <v>0</v>
      </c>
      <c r="O198" s="350">
        <f t="shared" si="60"/>
        <v>0</v>
      </c>
      <c r="P198" s="350">
        <f t="shared" si="60"/>
        <v>0</v>
      </c>
      <c r="Q198" s="350">
        <f t="shared" si="60"/>
        <v>0</v>
      </c>
      <c r="R198" s="330">
        <f t="shared" si="42"/>
        <v>192</v>
      </c>
    </row>
    <row r="199" spans="1:18" x14ac:dyDescent="0.25">
      <c r="A199" s="330">
        <f t="shared" si="59"/>
        <v>193</v>
      </c>
      <c r="B199" s="349" t="s">
        <v>31</v>
      </c>
      <c r="C199" s="390">
        <f t="shared" si="57"/>
        <v>1</v>
      </c>
      <c r="D199" s="350">
        <f t="shared" si="60"/>
        <v>438.75600000000003</v>
      </c>
      <c r="E199" s="350">
        <f t="shared" si="60"/>
        <v>500</v>
      </c>
      <c r="F199" s="350">
        <f t="shared" si="60"/>
        <v>512.5</v>
      </c>
      <c r="G199" s="350">
        <f t="shared" si="60"/>
        <v>525.3125</v>
      </c>
      <c r="H199" s="350">
        <f t="shared" si="60"/>
        <v>538.4453125</v>
      </c>
      <c r="I199" s="350">
        <f t="shared" si="60"/>
        <v>551.90644531249995</v>
      </c>
      <c r="J199" s="350">
        <f t="shared" si="60"/>
        <v>800</v>
      </c>
      <c r="K199" s="350">
        <f t="shared" si="60"/>
        <v>4500</v>
      </c>
      <c r="L199" s="350">
        <f t="shared" si="60"/>
        <v>4612.5</v>
      </c>
      <c r="M199" s="350">
        <f t="shared" si="60"/>
        <v>4727.8125</v>
      </c>
      <c r="N199" s="350">
        <f t="shared" si="60"/>
        <v>4846.0078125</v>
      </c>
      <c r="O199" s="350">
        <f t="shared" si="60"/>
        <v>4967.1580078124998</v>
      </c>
      <c r="P199" s="350">
        <f t="shared" si="60"/>
        <v>5091.3369580078115</v>
      </c>
      <c r="Q199" s="350">
        <f t="shared" si="60"/>
        <v>5218.620381958006</v>
      </c>
      <c r="R199" s="330">
        <f t="shared" si="42"/>
        <v>193</v>
      </c>
    </row>
    <row r="200" spans="1:18" x14ac:dyDescent="0.25">
      <c r="A200" s="330">
        <f t="shared" si="59"/>
        <v>194</v>
      </c>
      <c r="B200" s="349" t="s">
        <v>32</v>
      </c>
      <c r="C200" s="390">
        <f t="shared" si="57"/>
        <v>1</v>
      </c>
      <c r="D200" s="350">
        <f t="shared" si="60"/>
        <v>14861.748</v>
      </c>
      <c r="E200" s="350">
        <f t="shared" si="60"/>
        <v>17000</v>
      </c>
      <c r="F200" s="350">
        <f t="shared" si="60"/>
        <v>17425</v>
      </c>
      <c r="G200" s="350">
        <f t="shared" si="60"/>
        <v>17860.625</v>
      </c>
      <c r="H200" s="350">
        <f t="shared" si="60"/>
        <v>18307.140625</v>
      </c>
      <c r="I200" s="350">
        <f t="shared" si="60"/>
        <v>18764.819140624997</v>
      </c>
      <c r="J200" s="350">
        <f t="shared" si="60"/>
        <v>9500</v>
      </c>
      <c r="K200" s="350">
        <f t="shared" si="60"/>
        <v>12992</v>
      </c>
      <c r="L200" s="350">
        <f t="shared" si="60"/>
        <v>13316.8</v>
      </c>
      <c r="M200" s="350">
        <f t="shared" si="60"/>
        <v>13649.719999999998</v>
      </c>
      <c r="N200" s="350">
        <f t="shared" si="60"/>
        <v>13990.962999999996</v>
      </c>
      <c r="O200" s="350">
        <f t="shared" si="60"/>
        <v>14340.737074999995</v>
      </c>
      <c r="P200" s="350">
        <f t="shared" si="60"/>
        <v>14699.255501874994</v>
      </c>
      <c r="Q200" s="350">
        <f t="shared" si="60"/>
        <v>15066.736889421867</v>
      </c>
      <c r="R200" s="330">
        <f t="shared" ref="R200:R213" si="61">A200</f>
        <v>194</v>
      </c>
    </row>
    <row r="201" spans="1:18" x14ac:dyDescent="0.25">
      <c r="A201" s="330">
        <f t="shared" si="59"/>
        <v>195</v>
      </c>
      <c r="B201" s="369" t="s">
        <v>33</v>
      </c>
      <c r="C201" s="390">
        <f t="shared" si="57"/>
        <v>1</v>
      </c>
      <c r="D201" s="350">
        <f t="shared" si="60"/>
        <v>32948.94</v>
      </c>
      <c r="E201" s="350">
        <f t="shared" si="60"/>
        <v>33500</v>
      </c>
      <c r="F201" s="350">
        <f t="shared" si="60"/>
        <v>34337.5</v>
      </c>
      <c r="G201" s="350">
        <f t="shared" si="60"/>
        <v>35195.9375</v>
      </c>
      <c r="H201" s="350">
        <f t="shared" si="60"/>
        <v>36075.8359375</v>
      </c>
      <c r="I201" s="350">
        <f t="shared" si="60"/>
        <v>36977.731835937499</v>
      </c>
      <c r="J201" s="350">
        <f t="shared" si="60"/>
        <v>15000</v>
      </c>
      <c r="K201" s="350">
        <f t="shared" si="60"/>
        <v>21000</v>
      </c>
      <c r="L201" s="350">
        <f t="shared" si="60"/>
        <v>21524.999999999996</v>
      </c>
      <c r="M201" s="350">
        <f t="shared" si="60"/>
        <v>22063.124999999993</v>
      </c>
      <c r="N201" s="350">
        <f t="shared" si="60"/>
        <v>22614.703124999989</v>
      </c>
      <c r="O201" s="350">
        <f t="shared" si="60"/>
        <v>23180.070703124988</v>
      </c>
      <c r="P201" s="350">
        <f t="shared" si="60"/>
        <v>23759.572470703111</v>
      </c>
      <c r="Q201" s="350">
        <f t="shared" si="60"/>
        <v>24353.561782470686</v>
      </c>
      <c r="R201" s="330">
        <f t="shared" si="61"/>
        <v>195</v>
      </c>
    </row>
    <row r="202" spans="1:18" x14ac:dyDescent="0.25">
      <c r="A202" s="330">
        <f t="shared" si="59"/>
        <v>196</v>
      </c>
      <c r="B202" s="364" t="s">
        <v>347</v>
      </c>
      <c r="C202" s="390">
        <f t="shared" si="57"/>
        <v>1</v>
      </c>
      <c r="D202" s="350">
        <f t="shared" si="60"/>
        <v>0</v>
      </c>
      <c r="E202" s="350">
        <f t="shared" si="60"/>
        <v>0</v>
      </c>
      <c r="F202" s="350">
        <f t="shared" si="60"/>
        <v>0</v>
      </c>
      <c r="G202" s="350">
        <f t="shared" si="60"/>
        <v>0</v>
      </c>
      <c r="H202" s="350">
        <f t="shared" si="60"/>
        <v>0</v>
      </c>
      <c r="I202" s="350">
        <f t="shared" si="60"/>
        <v>0</v>
      </c>
      <c r="J202" s="350">
        <f t="shared" si="60"/>
        <v>0</v>
      </c>
      <c r="K202" s="350">
        <f t="shared" si="60"/>
        <v>0</v>
      </c>
      <c r="L202" s="350">
        <f t="shared" si="60"/>
        <v>0</v>
      </c>
      <c r="M202" s="350">
        <f t="shared" si="60"/>
        <v>0</v>
      </c>
      <c r="N202" s="350">
        <f t="shared" si="60"/>
        <v>0</v>
      </c>
      <c r="O202" s="350">
        <f t="shared" si="60"/>
        <v>0</v>
      </c>
      <c r="P202" s="350">
        <f t="shared" si="60"/>
        <v>0</v>
      </c>
      <c r="Q202" s="350">
        <f t="shared" si="60"/>
        <v>0</v>
      </c>
      <c r="R202" s="330">
        <f t="shared" si="61"/>
        <v>196</v>
      </c>
    </row>
    <row r="203" spans="1:18" x14ac:dyDescent="0.25">
      <c r="A203" s="330">
        <f t="shared" si="59"/>
        <v>197</v>
      </c>
      <c r="B203" s="364" t="s">
        <v>34</v>
      </c>
      <c r="C203" s="390">
        <f t="shared" si="57"/>
        <v>1</v>
      </c>
      <c r="D203" s="350">
        <f t="shared" ref="D203:Q210" si="62">D84*$C203</f>
        <v>0</v>
      </c>
      <c r="E203" s="350">
        <f t="shared" si="62"/>
        <v>0</v>
      </c>
      <c r="F203" s="350">
        <f t="shared" si="62"/>
        <v>0</v>
      </c>
      <c r="G203" s="350">
        <f t="shared" si="62"/>
        <v>0</v>
      </c>
      <c r="H203" s="350">
        <f t="shared" si="62"/>
        <v>0</v>
      </c>
      <c r="I203" s="350">
        <f t="shared" si="62"/>
        <v>0</v>
      </c>
      <c r="J203" s="350">
        <f t="shared" si="62"/>
        <v>0</v>
      </c>
      <c r="K203" s="350">
        <f t="shared" si="62"/>
        <v>2000</v>
      </c>
      <c r="L203" s="350">
        <f t="shared" si="62"/>
        <v>2050</v>
      </c>
      <c r="M203" s="350">
        <f t="shared" si="62"/>
        <v>2101.25</v>
      </c>
      <c r="N203" s="350">
        <f t="shared" si="62"/>
        <v>2153.78125</v>
      </c>
      <c r="O203" s="350">
        <f t="shared" si="62"/>
        <v>2207.6257812499998</v>
      </c>
      <c r="P203" s="350">
        <f t="shared" si="62"/>
        <v>2262.8164257812496</v>
      </c>
      <c r="Q203" s="350">
        <f t="shared" si="62"/>
        <v>2319.3868364257805</v>
      </c>
      <c r="R203" s="330">
        <f t="shared" si="61"/>
        <v>197</v>
      </c>
    </row>
    <row r="204" spans="1:18" x14ac:dyDescent="0.25">
      <c r="A204" s="330">
        <f t="shared" si="59"/>
        <v>198</v>
      </c>
      <c r="B204" s="349" t="s">
        <v>35</v>
      </c>
      <c r="C204" s="390">
        <f t="shared" si="57"/>
        <v>1</v>
      </c>
      <c r="D204" s="350">
        <f t="shared" si="62"/>
        <v>564.03600000000006</v>
      </c>
      <c r="E204" s="350">
        <f t="shared" si="62"/>
        <v>800</v>
      </c>
      <c r="F204" s="350">
        <f t="shared" si="62"/>
        <v>819.99999999999989</v>
      </c>
      <c r="G204" s="350">
        <f t="shared" si="62"/>
        <v>840.49999999999977</v>
      </c>
      <c r="H204" s="350">
        <f t="shared" si="62"/>
        <v>861.5124999999997</v>
      </c>
      <c r="I204" s="350">
        <f t="shared" si="62"/>
        <v>883.05031249999968</v>
      </c>
      <c r="J204" s="350">
        <f t="shared" si="62"/>
        <v>500</v>
      </c>
      <c r="K204" s="350">
        <f t="shared" si="62"/>
        <v>500</v>
      </c>
      <c r="L204" s="350">
        <f t="shared" si="62"/>
        <v>512.5</v>
      </c>
      <c r="M204" s="350">
        <f t="shared" si="62"/>
        <v>525.3125</v>
      </c>
      <c r="N204" s="350">
        <f t="shared" si="62"/>
        <v>538.4453125</v>
      </c>
      <c r="O204" s="350">
        <f t="shared" si="62"/>
        <v>551.90644531249995</v>
      </c>
      <c r="P204" s="350">
        <f t="shared" si="62"/>
        <v>565.70410644531239</v>
      </c>
      <c r="Q204" s="350">
        <f t="shared" si="62"/>
        <v>579.84670910644513</v>
      </c>
      <c r="R204" s="330">
        <f t="shared" si="61"/>
        <v>198</v>
      </c>
    </row>
    <row r="205" spans="1:18" x14ac:dyDescent="0.25">
      <c r="A205" s="330">
        <f t="shared" si="59"/>
        <v>199</v>
      </c>
      <c r="B205" s="349" t="s">
        <v>36</v>
      </c>
      <c r="C205" s="390">
        <f t="shared" si="57"/>
        <v>1</v>
      </c>
      <c r="D205" s="350">
        <f t="shared" si="62"/>
        <v>8338.9560000000001</v>
      </c>
      <c r="E205" s="350">
        <f t="shared" si="62"/>
        <v>4500</v>
      </c>
      <c r="F205" s="350">
        <f t="shared" si="62"/>
        <v>4612.5</v>
      </c>
      <c r="G205" s="350">
        <f t="shared" si="62"/>
        <v>4727.8125</v>
      </c>
      <c r="H205" s="350">
        <f t="shared" si="62"/>
        <v>4846.0078125</v>
      </c>
      <c r="I205" s="350">
        <f t="shared" si="62"/>
        <v>4967.1580078124998</v>
      </c>
      <c r="J205" s="350">
        <f t="shared" si="62"/>
        <v>4500</v>
      </c>
      <c r="K205" s="350">
        <f t="shared" si="62"/>
        <v>4000</v>
      </c>
      <c r="L205" s="350">
        <f t="shared" si="62"/>
        <v>4100</v>
      </c>
      <c r="M205" s="350">
        <f t="shared" si="62"/>
        <v>4202.5</v>
      </c>
      <c r="N205" s="350">
        <f t="shared" si="62"/>
        <v>4307.5625</v>
      </c>
      <c r="O205" s="350">
        <f t="shared" si="62"/>
        <v>4415.2515624999996</v>
      </c>
      <c r="P205" s="350">
        <f t="shared" si="62"/>
        <v>4525.6328515624991</v>
      </c>
      <c r="Q205" s="350">
        <f t="shared" si="62"/>
        <v>4638.7736728515611</v>
      </c>
      <c r="R205" s="330">
        <f t="shared" si="61"/>
        <v>199</v>
      </c>
    </row>
    <row r="206" spans="1:18" x14ac:dyDescent="0.25">
      <c r="A206" s="330">
        <f t="shared" si="59"/>
        <v>200</v>
      </c>
      <c r="B206" s="359" t="s">
        <v>37</v>
      </c>
      <c r="C206" s="390">
        <f t="shared" si="57"/>
        <v>1</v>
      </c>
      <c r="D206" s="350">
        <f t="shared" si="62"/>
        <v>0</v>
      </c>
      <c r="E206" s="350">
        <f t="shared" si="62"/>
        <v>0</v>
      </c>
      <c r="F206" s="350">
        <f t="shared" si="62"/>
        <v>0</v>
      </c>
      <c r="G206" s="350">
        <f t="shared" si="62"/>
        <v>0</v>
      </c>
      <c r="H206" s="350">
        <f t="shared" si="62"/>
        <v>0</v>
      </c>
      <c r="I206" s="350">
        <f t="shared" si="62"/>
        <v>0</v>
      </c>
      <c r="J206" s="350">
        <f t="shared" si="62"/>
        <v>0</v>
      </c>
      <c r="K206" s="350">
        <f t="shared" si="62"/>
        <v>500</v>
      </c>
      <c r="L206" s="350">
        <f t="shared" si="62"/>
        <v>512.5</v>
      </c>
      <c r="M206" s="350">
        <f t="shared" si="62"/>
        <v>525.3125</v>
      </c>
      <c r="N206" s="350">
        <f t="shared" si="62"/>
        <v>538.4453125</v>
      </c>
      <c r="O206" s="350">
        <f t="shared" si="62"/>
        <v>551.90644531249995</v>
      </c>
      <c r="P206" s="350">
        <f t="shared" si="62"/>
        <v>565.70410644531239</v>
      </c>
      <c r="Q206" s="350">
        <f t="shared" si="62"/>
        <v>579.84670910644513</v>
      </c>
      <c r="R206" s="330">
        <f t="shared" si="61"/>
        <v>200</v>
      </c>
    </row>
    <row r="207" spans="1:18" x14ac:dyDescent="0.25">
      <c r="A207" s="330">
        <f t="shared" si="59"/>
        <v>201</v>
      </c>
      <c r="B207" s="349" t="s">
        <v>38</v>
      </c>
      <c r="C207" s="390">
        <f t="shared" si="57"/>
        <v>1</v>
      </c>
      <c r="D207" s="350">
        <f t="shared" si="62"/>
        <v>5648.0399999999991</v>
      </c>
      <c r="E207" s="350">
        <f t="shared" si="62"/>
        <v>5200</v>
      </c>
      <c r="F207" s="350">
        <f t="shared" si="62"/>
        <v>5329.9999999999991</v>
      </c>
      <c r="G207" s="350">
        <f t="shared" si="62"/>
        <v>5463.2499999999982</v>
      </c>
      <c r="H207" s="350">
        <f t="shared" si="62"/>
        <v>5599.8312499999975</v>
      </c>
      <c r="I207" s="350">
        <f t="shared" si="62"/>
        <v>5739.8270312499972</v>
      </c>
      <c r="J207" s="350">
        <f t="shared" si="62"/>
        <v>7000</v>
      </c>
      <c r="K207" s="350">
        <f t="shared" si="62"/>
        <v>7000</v>
      </c>
      <c r="L207" s="350">
        <f t="shared" si="62"/>
        <v>7174.9999999999991</v>
      </c>
      <c r="M207" s="350">
        <f t="shared" si="62"/>
        <v>7354.3749999999982</v>
      </c>
      <c r="N207" s="350">
        <f t="shared" si="62"/>
        <v>7538.2343749999973</v>
      </c>
      <c r="O207" s="350">
        <f t="shared" si="62"/>
        <v>7726.6902343749962</v>
      </c>
      <c r="P207" s="350">
        <f t="shared" si="62"/>
        <v>7919.8574902343707</v>
      </c>
      <c r="Q207" s="350">
        <f t="shared" si="62"/>
        <v>8117.8539274902296</v>
      </c>
      <c r="R207" s="330">
        <f t="shared" si="61"/>
        <v>201</v>
      </c>
    </row>
    <row r="208" spans="1:18" x14ac:dyDescent="0.25">
      <c r="A208" s="330">
        <f t="shared" si="59"/>
        <v>202</v>
      </c>
      <c r="B208" s="369" t="s">
        <v>39</v>
      </c>
      <c r="C208" s="390">
        <f t="shared" si="57"/>
        <v>1</v>
      </c>
      <c r="D208" s="350">
        <f t="shared" si="62"/>
        <v>46158.39</v>
      </c>
      <c r="E208" s="350">
        <f t="shared" si="62"/>
        <v>38606</v>
      </c>
      <c r="F208" s="350">
        <f t="shared" si="62"/>
        <v>39571.149999999994</v>
      </c>
      <c r="G208" s="350">
        <f t="shared" si="62"/>
        <v>40560.428749999992</v>
      </c>
      <c r="H208" s="350">
        <f t="shared" si="62"/>
        <v>41574.439468749988</v>
      </c>
      <c r="I208" s="350">
        <f t="shared" si="62"/>
        <v>42613.800455468736</v>
      </c>
      <c r="J208" s="350">
        <f t="shared" si="62"/>
        <v>0</v>
      </c>
      <c r="K208" s="350">
        <f t="shared" si="62"/>
        <v>0</v>
      </c>
      <c r="L208" s="350">
        <f t="shared" si="62"/>
        <v>0</v>
      </c>
      <c r="M208" s="350">
        <f t="shared" si="62"/>
        <v>0</v>
      </c>
      <c r="N208" s="350">
        <f t="shared" si="62"/>
        <v>0</v>
      </c>
      <c r="O208" s="350">
        <f t="shared" si="62"/>
        <v>0</v>
      </c>
      <c r="P208" s="350">
        <f t="shared" si="62"/>
        <v>0</v>
      </c>
      <c r="Q208" s="350">
        <f t="shared" si="62"/>
        <v>0</v>
      </c>
      <c r="R208" s="330">
        <f t="shared" si="61"/>
        <v>202</v>
      </c>
    </row>
    <row r="209" spans="1:18" x14ac:dyDescent="0.25">
      <c r="A209" s="330">
        <f t="shared" si="59"/>
        <v>203</v>
      </c>
      <c r="B209" s="369" t="s">
        <v>49</v>
      </c>
      <c r="C209" s="390">
        <f t="shared" si="57"/>
        <v>1</v>
      </c>
      <c r="D209" s="350">
        <f t="shared" si="62"/>
        <v>0</v>
      </c>
      <c r="E209" s="350">
        <f t="shared" si="62"/>
        <v>0</v>
      </c>
      <c r="F209" s="350">
        <f t="shared" si="62"/>
        <v>0</v>
      </c>
      <c r="G209" s="350">
        <f t="shared" si="62"/>
        <v>0</v>
      </c>
      <c r="H209" s="350">
        <f t="shared" si="62"/>
        <v>0</v>
      </c>
      <c r="I209" s="350">
        <f t="shared" si="62"/>
        <v>0</v>
      </c>
      <c r="J209" s="350">
        <f t="shared" si="62"/>
        <v>0</v>
      </c>
      <c r="K209" s="350">
        <f t="shared" si="62"/>
        <v>0</v>
      </c>
      <c r="L209" s="350">
        <f t="shared" si="62"/>
        <v>0</v>
      </c>
      <c r="M209" s="350">
        <f t="shared" si="62"/>
        <v>0</v>
      </c>
      <c r="N209" s="350">
        <f t="shared" si="62"/>
        <v>0</v>
      </c>
      <c r="O209" s="350">
        <f t="shared" si="62"/>
        <v>0</v>
      </c>
      <c r="P209" s="350">
        <f t="shared" si="62"/>
        <v>0</v>
      </c>
      <c r="Q209" s="350">
        <f t="shared" si="62"/>
        <v>0</v>
      </c>
      <c r="R209" s="330">
        <f t="shared" si="61"/>
        <v>203</v>
      </c>
    </row>
    <row r="210" spans="1:18" x14ac:dyDescent="0.25">
      <c r="A210" s="330">
        <f t="shared" si="59"/>
        <v>204</v>
      </c>
      <c r="B210" s="369" t="s">
        <v>348</v>
      </c>
      <c r="C210" s="390">
        <f t="shared" si="57"/>
        <v>1</v>
      </c>
      <c r="D210" s="350">
        <f t="shared" si="62"/>
        <v>10985.466666666667</v>
      </c>
      <c r="E210" s="350">
        <f t="shared" si="62"/>
        <v>18586.919999999998</v>
      </c>
      <c r="F210" s="350">
        <f t="shared" si="62"/>
        <v>19051.592999999997</v>
      </c>
      <c r="G210" s="350">
        <f t="shared" si="62"/>
        <v>19527.882824999997</v>
      </c>
      <c r="H210" s="350">
        <f t="shared" si="62"/>
        <v>20016.079895624996</v>
      </c>
      <c r="I210" s="350">
        <f t="shared" si="62"/>
        <v>20516.481893015618</v>
      </c>
      <c r="J210" s="350">
        <f t="shared" si="62"/>
        <v>12382</v>
      </c>
      <c r="K210" s="350">
        <f t="shared" si="62"/>
        <v>41900</v>
      </c>
      <c r="L210" s="350">
        <f t="shared" si="62"/>
        <v>42947.499999999993</v>
      </c>
      <c r="M210" s="350">
        <f t="shared" si="62"/>
        <v>44021.187499999985</v>
      </c>
      <c r="N210" s="350">
        <f t="shared" si="62"/>
        <v>45121.717187499984</v>
      </c>
      <c r="O210" s="350">
        <f t="shared" si="62"/>
        <v>46249.760117187478</v>
      </c>
      <c r="P210" s="350">
        <f t="shared" si="62"/>
        <v>47406.004120117163</v>
      </c>
      <c r="Q210" s="350">
        <f t="shared" si="62"/>
        <v>48591.154223120087</v>
      </c>
      <c r="R210" s="330">
        <f t="shared" si="61"/>
        <v>204</v>
      </c>
    </row>
    <row r="211" spans="1:18" x14ac:dyDescent="0.25">
      <c r="A211" s="330">
        <f t="shared" si="59"/>
        <v>205</v>
      </c>
      <c r="B211" s="339" t="s">
        <v>40</v>
      </c>
      <c r="C211" s="384"/>
      <c r="D211" s="392">
        <f>SUM(D193:D210)</f>
        <v>136923.32466666668</v>
      </c>
      <c r="E211" s="392">
        <f t="shared" ref="E211:Q211" si="63">SUM(E193:E210)</f>
        <v>135006.91999999998</v>
      </c>
      <c r="F211" s="392">
        <f t="shared" si="63"/>
        <v>138382.09299999999</v>
      </c>
      <c r="G211" s="392">
        <f t="shared" si="63"/>
        <v>141841.64532499999</v>
      </c>
      <c r="H211" s="392">
        <f t="shared" si="63"/>
        <v>145387.68645812498</v>
      </c>
      <c r="I211" s="392">
        <f t="shared" si="63"/>
        <v>149022.37861957808</v>
      </c>
      <c r="J211" s="392">
        <f t="shared" si="63"/>
        <v>57982</v>
      </c>
      <c r="K211" s="392">
        <f t="shared" si="63"/>
        <v>104392</v>
      </c>
      <c r="L211" s="392">
        <f t="shared" si="63"/>
        <v>107001.79999999999</v>
      </c>
      <c r="M211" s="392">
        <f t="shared" si="63"/>
        <v>109676.84499999997</v>
      </c>
      <c r="N211" s="392">
        <f t="shared" si="63"/>
        <v>112418.76612499997</v>
      </c>
      <c r="O211" s="392">
        <f t="shared" si="63"/>
        <v>115229.23527812495</v>
      </c>
      <c r="P211" s="392">
        <f t="shared" si="63"/>
        <v>118109.96616007807</v>
      </c>
      <c r="Q211" s="392">
        <f t="shared" si="63"/>
        <v>121062.71531408001</v>
      </c>
      <c r="R211" s="330">
        <f t="shared" si="61"/>
        <v>205</v>
      </c>
    </row>
    <row r="212" spans="1:18" x14ac:dyDescent="0.25">
      <c r="A212" s="330">
        <f t="shared" si="59"/>
        <v>206</v>
      </c>
      <c r="B212" s="369"/>
      <c r="C212" s="385"/>
      <c r="D212" s="370"/>
      <c r="E212" s="370"/>
      <c r="F212" s="370"/>
      <c r="G212" s="370"/>
      <c r="H212" s="370"/>
      <c r="I212" s="370"/>
      <c r="J212" s="370"/>
      <c r="K212" s="370"/>
      <c r="L212" s="370"/>
      <c r="M212" s="370"/>
      <c r="N212" s="370"/>
      <c r="O212" s="370"/>
      <c r="P212" s="370"/>
      <c r="Q212" s="370"/>
      <c r="R212" s="330">
        <f t="shared" si="61"/>
        <v>206</v>
      </c>
    </row>
    <row r="213" spans="1:18" ht="15.75" thickBot="1" x14ac:dyDescent="0.3">
      <c r="A213" s="330">
        <f t="shared" si="59"/>
        <v>207</v>
      </c>
      <c r="B213" s="373" t="s">
        <v>356</v>
      </c>
      <c r="C213" s="386"/>
      <c r="D213" s="375">
        <f t="shared" ref="D213:Q213" si="64">D166+D190+D211</f>
        <v>173400.00066666669</v>
      </c>
      <c r="E213" s="375">
        <f t="shared" si="64"/>
        <v>166631.91999999998</v>
      </c>
      <c r="F213" s="375">
        <f t="shared" si="64"/>
        <v>170797.71799999999</v>
      </c>
      <c r="G213" s="375">
        <f t="shared" si="64"/>
        <v>175067.66094999999</v>
      </c>
      <c r="H213" s="375">
        <f t="shared" si="64"/>
        <v>179444.35247374998</v>
      </c>
      <c r="I213" s="375">
        <f t="shared" si="64"/>
        <v>183930.46128559369</v>
      </c>
      <c r="J213" s="375">
        <f t="shared" si="64"/>
        <v>93447.5</v>
      </c>
      <c r="K213" s="375">
        <f t="shared" si="64"/>
        <v>139117</v>
      </c>
      <c r="L213" s="375">
        <f t="shared" si="64"/>
        <v>142594.92499999999</v>
      </c>
      <c r="M213" s="375">
        <f t="shared" si="64"/>
        <v>146159.79812499997</v>
      </c>
      <c r="N213" s="375">
        <f t="shared" si="64"/>
        <v>149813.79307812496</v>
      </c>
      <c r="O213" s="375">
        <f t="shared" si="64"/>
        <v>153559.13790507807</v>
      </c>
      <c r="P213" s="375">
        <f t="shared" si="64"/>
        <v>157398.11635270499</v>
      </c>
      <c r="Q213" s="375">
        <f t="shared" si="64"/>
        <v>161333.06926152261</v>
      </c>
      <c r="R213" s="330">
        <f t="shared" si="61"/>
        <v>207</v>
      </c>
    </row>
    <row r="214" spans="1:18" x14ac:dyDescent="0.25">
      <c r="A214" s="330"/>
      <c r="B214" s="330" t="str">
        <f>B3</f>
        <v>A</v>
      </c>
      <c r="C214" s="330" t="str">
        <f t="shared" ref="C214:Q214" si="65">C3</f>
        <v xml:space="preserve">B </v>
      </c>
      <c r="D214" s="330" t="str">
        <f t="shared" si="65"/>
        <v>C</v>
      </c>
      <c r="E214" s="330" t="str">
        <f t="shared" si="65"/>
        <v>D</v>
      </c>
      <c r="F214" s="330" t="str">
        <f t="shared" si="65"/>
        <v>E</v>
      </c>
      <c r="G214" s="330" t="str">
        <f t="shared" si="65"/>
        <v>F</v>
      </c>
      <c r="H214" s="330" t="str">
        <f t="shared" si="65"/>
        <v>G</v>
      </c>
      <c r="I214" s="330" t="str">
        <f t="shared" si="65"/>
        <v>H</v>
      </c>
      <c r="J214" s="330" t="str">
        <f t="shared" si="65"/>
        <v>I</v>
      </c>
      <c r="K214" s="330" t="str">
        <f t="shared" si="65"/>
        <v>J</v>
      </c>
      <c r="L214" s="330" t="str">
        <f t="shared" si="65"/>
        <v>K</v>
      </c>
      <c r="M214" s="330" t="str">
        <f t="shared" si="65"/>
        <v>L</v>
      </c>
      <c r="N214" s="330" t="str">
        <f t="shared" si="65"/>
        <v>M</v>
      </c>
      <c r="O214" s="330" t="str">
        <f t="shared" si="65"/>
        <v>N</v>
      </c>
      <c r="P214" s="330" t="str">
        <f t="shared" si="65"/>
        <v>O</v>
      </c>
      <c r="Q214" s="330" t="str">
        <f t="shared" si="65"/>
        <v>P</v>
      </c>
      <c r="R214" s="330"/>
    </row>
  </sheetData>
  <mergeCells count="1">
    <mergeCell ref="B2:J2"/>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M26"/>
  <sheetViews>
    <sheetView view="pageBreakPreview" zoomScaleNormal="100" zoomScaleSheetLayoutView="100" workbookViewId="0">
      <selection activeCell="H24" sqref="H24"/>
    </sheetView>
  </sheetViews>
  <sheetFormatPr defaultRowHeight="15" x14ac:dyDescent="0.25"/>
  <cols>
    <col min="1" max="1" width="9.28515625" bestFit="1" customWidth="1"/>
    <col min="2" max="3" width="18.28515625" style="1" bestFit="1" customWidth="1"/>
    <col min="4" max="5" width="16.140625" style="1" bestFit="1" customWidth="1"/>
    <col min="6" max="6" width="15.42578125" style="1" bestFit="1" customWidth="1"/>
    <col min="7" max="7" width="14.7109375" style="1" bestFit="1" customWidth="1"/>
    <col min="8" max="8" width="16.140625" style="1" bestFit="1" customWidth="1"/>
    <col min="10" max="10" width="2.28515625" customWidth="1"/>
    <col min="11" max="11" width="15.42578125" bestFit="1" customWidth="1"/>
  </cols>
  <sheetData>
    <row r="1" spans="1:13" ht="15.75" x14ac:dyDescent="0.25">
      <c r="A1" s="2"/>
      <c r="B1" s="3" t="s">
        <v>85</v>
      </c>
      <c r="C1" s="3" t="s">
        <v>78</v>
      </c>
      <c r="D1" s="3" t="s">
        <v>79</v>
      </c>
      <c r="E1" s="3" t="s">
        <v>80</v>
      </c>
      <c r="F1" s="3" t="s">
        <v>45</v>
      </c>
      <c r="G1" s="3" t="s">
        <v>81</v>
      </c>
      <c r="H1" s="3" t="s">
        <v>82</v>
      </c>
      <c r="I1" s="3" t="s">
        <v>94</v>
      </c>
      <c r="J1" s="2"/>
      <c r="K1" s="2"/>
      <c r="L1" s="2"/>
      <c r="M1" s="2"/>
    </row>
    <row r="2" spans="1:13" ht="15.75" x14ac:dyDescent="0.25">
      <c r="A2" s="2">
        <v>2011</v>
      </c>
      <c r="B2" s="3">
        <v>5290000</v>
      </c>
      <c r="C2" s="4" t="s">
        <v>84</v>
      </c>
      <c r="D2" s="3">
        <f>$C$23*0.08125</f>
        <v>429812.5</v>
      </c>
      <c r="E2" s="3">
        <f>D2</f>
        <v>429812.5</v>
      </c>
      <c r="F2" s="3" t="e">
        <f>#REF!</f>
        <v>#REF!</v>
      </c>
      <c r="G2" s="3" t="e">
        <f>F2-E2</f>
        <v>#REF!</v>
      </c>
      <c r="H2" s="3" t="e">
        <f>G2</f>
        <v>#REF!</v>
      </c>
      <c r="I2" s="2"/>
      <c r="J2" s="2"/>
      <c r="K2" s="3"/>
      <c r="L2" s="2"/>
      <c r="M2" s="2"/>
    </row>
    <row r="3" spans="1:13" ht="15.75" x14ac:dyDescent="0.25">
      <c r="A3" s="2">
        <v>2012</v>
      </c>
      <c r="B3" s="3">
        <v>5290000</v>
      </c>
      <c r="C3" s="3"/>
      <c r="D3" s="3">
        <f>$C$23*0.08125</f>
        <v>429812.5</v>
      </c>
      <c r="E3" s="3">
        <f>D3+C3</f>
        <v>429812.5</v>
      </c>
      <c r="F3" s="3" t="e">
        <f>F2</f>
        <v>#REF!</v>
      </c>
      <c r="G3" s="3" t="e">
        <f t="shared" ref="G3:G22" si="0">F3-E3</f>
        <v>#REF!</v>
      </c>
      <c r="H3" s="3" t="e">
        <f>G3+H2</f>
        <v>#REF!</v>
      </c>
      <c r="I3" s="2"/>
      <c r="J3" s="2"/>
      <c r="K3" s="3"/>
      <c r="L3" s="2"/>
      <c r="M3" s="2"/>
    </row>
    <row r="4" spans="1:13" ht="15.75" x14ac:dyDescent="0.25">
      <c r="A4" s="2">
        <v>2013</v>
      </c>
      <c r="B4" s="3">
        <v>5290000</v>
      </c>
      <c r="C4" s="3">
        <v>125000</v>
      </c>
      <c r="D4" s="3">
        <f>(B4*0.08125/2)+(B5*0.08125/2)</f>
        <v>424734.375</v>
      </c>
      <c r="E4" s="3">
        <f t="shared" ref="E4:E22" si="1">D4+C4</f>
        <v>549734.375</v>
      </c>
      <c r="F4" s="3" t="e">
        <f t="shared" ref="F4:F22" si="2">F3</f>
        <v>#REF!</v>
      </c>
      <c r="G4" s="3" t="e">
        <f t="shared" si="0"/>
        <v>#REF!</v>
      </c>
      <c r="H4" s="3" t="e">
        <f t="shared" ref="H4:H22" si="3">G4+H3</f>
        <v>#REF!</v>
      </c>
      <c r="I4" s="2" t="s">
        <v>86</v>
      </c>
      <c r="J4" s="2"/>
      <c r="K4" s="3">
        <v>135000</v>
      </c>
      <c r="L4" s="2"/>
      <c r="M4" s="2"/>
    </row>
    <row r="5" spans="1:13" ht="15.75" x14ac:dyDescent="0.25">
      <c r="A5" s="2">
        <f>A4+1</f>
        <v>2014</v>
      </c>
      <c r="B5" s="3">
        <f>B4-C4</f>
        <v>5165000</v>
      </c>
      <c r="C5" s="3">
        <v>135000</v>
      </c>
      <c r="D5" s="3">
        <f t="shared" ref="D5:D22" si="4">(B5*0.08125/2)+(B6*0.08125/2)</f>
        <v>414171.875</v>
      </c>
      <c r="E5" s="3">
        <f t="shared" si="1"/>
        <v>549171.875</v>
      </c>
      <c r="F5" s="3" t="e">
        <f t="shared" si="2"/>
        <v>#REF!</v>
      </c>
      <c r="G5" s="3" t="e">
        <f t="shared" si="0"/>
        <v>#REF!</v>
      </c>
      <c r="H5" s="3" t="e">
        <f t="shared" si="3"/>
        <v>#REF!</v>
      </c>
      <c r="I5" s="2" t="s">
        <v>87</v>
      </c>
      <c r="J5" s="2"/>
      <c r="K5" s="3">
        <v>5000</v>
      </c>
      <c r="L5" s="2"/>
      <c r="M5" s="2"/>
    </row>
    <row r="6" spans="1:13" ht="15.75" x14ac:dyDescent="0.25">
      <c r="A6" s="2">
        <f t="shared" ref="A6:A22" si="5">A5+1</f>
        <v>2015</v>
      </c>
      <c r="B6" s="3">
        <f t="shared" ref="B6:B23" si="6">B5-C5</f>
        <v>5030000</v>
      </c>
      <c r="C6" s="3">
        <v>150000</v>
      </c>
      <c r="D6" s="3">
        <f t="shared" si="4"/>
        <v>402593.75</v>
      </c>
      <c r="E6" s="3">
        <f t="shared" si="1"/>
        <v>552593.75</v>
      </c>
      <c r="F6" s="3" t="e">
        <f t="shared" si="2"/>
        <v>#REF!</v>
      </c>
      <c r="G6" s="3" t="e">
        <f t="shared" si="0"/>
        <v>#REF!</v>
      </c>
      <c r="H6" s="3" t="e">
        <f t="shared" si="3"/>
        <v>#REF!</v>
      </c>
      <c r="I6" s="2" t="s">
        <v>88</v>
      </c>
      <c r="J6" s="2"/>
      <c r="K6" s="3">
        <v>5000</v>
      </c>
      <c r="L6" s="2"/>
      <c r="M6" s="2"/>
    </row>
    <row r="7" spans="1:13" ht="15.75" x14ac:dyDescent="0.25">
      <c r="A7" s="2">
        <f t="shared" si="5"/>
        <v>2016</v>
      </c>
      <c r="B7" s="3">
        <f t="shared" si="6"/>
        <v>4880000</v>
      </c>
      <c r="C7" s="3">
        <v>160000</v>
      </c>
      <c r="D7" s="3">
        <f t="shared" si="4"/>
        <v>390000</v>
      </c>
      <c r="E7" s="3">
        <f t="shared" si="1"/>
        <v>550000</v>
      </c>
      <c r="F7" s="3" t="e">
        <f t="shared" si="2"/>
        <v>#REF!</v>
      </c>
      <c r="G7" s="3" t="e">
        <f t="shared" si="0"/>
        <v>#REF!</v>
      </c>
      <c r="H7" s="3" t="e">
        <f t="shared" si="3"/>
        <v>#REF!</v>
      </c>
      <c r="I7" s="2" t="s">
        <v>89</v>
      </c>
      <c r="J7" s="2"/>
      <c r="K7" s="3">
        <v>5000</v>
      </c>
      <c r="L7" s="2"/>
      <c r="M7" s="2"/>
    </row>
    <row r="8" spans="1:13" ht="15.75" x14ac:dyDescent="0.25">
      <c r="A8" s="2">
        <f t="shared" si="5"/>
        <v>2017</v>
      </c>
      <c r="B8" s="3">
        <f t="shared" si="6"/>
        <v>4720000</v>
      </c>
      <c r="C8" s="3">
        <v>170000</v>
      </c>
      <c r="D8" s="3">
        <f t="shared" si="4"/>
        <v>376593.75</v>
      </c>
      <c r="E8" s="3">
        <f t="shared" si="1"/>
        <v>546593.75</v>
      </c>
      <c r="F8" s="3" t="e">
        <f t="shared" si="2"/>
        <v>#REF!</v>
      </c>
      <c r="G8" s="3" t="e">
        <f t="shared" si="0"/>
        <v>#REF!</v>
      </c>
      <c r="H8" s="3" t="e">
        <f t="shared" si="3"/>
        <v>#REF!</v>
      </c>
      <c r="I8" s="2" t="s">
        <v>90</v>
      </c>
      <c r="J8" s="2"/>
      <c r="K8" s="3">
        <v>5000</v>
      </c>
      <c r="L8" s="2"/>
      <c r="M8" s="2"/>
    </row>
    <row r="9" spans="1:13" ht="15.75" x14ac:dyDescent="0.25">
      <c r="A9" s="174">
        <f t="shared" si="5"/>
        <v>2018</v>
      </c>
      <c r="B9" s="175">
        <f t="shared" si="6"/>
        <v>4550000</v>
      </c>
      <c r="C9" s="175">
        <v>185000</v>
      </c>
      <c r="D9" s="175">
        <f t="shared" si="4"/>
        <v>362171.875</v>
      </c>
      <c r="E9" s="175">
        <f t="shared" si="1"/>
        <v>547171.875</v>
      </c>
      <c r="F9" s="3" t="e">
        <f t="shared" si="2"/>
        <v>#REF!</v>
      </c>
      <c r="G9" s="3" t="e">
        <f t="shared" si="0"/>
        <v>#REF!</v>
      </c>
      <c r="H9" s="3" t="e">
        <f t="shared" si="3"/>
        <v>#REF!</v>
      </c>
      <c r="I9" s="2" t="s">
        <v>91</v>
      </c>
      <c r="J9" s="2"/>
      <c r="K9" s="3">
        <v>5000</v>
      </c>
      <c r="L9" s="2"/>
      <c r="M9" s="2"/>
    </row>
    <row r="10" spans="1:13" ht="15.75" x14ac:dyDescent="0.25">
      <c r="A10" s="2">
        <f t="shared" si="5"/>
        <v>2019</v>
      </c>
      <c r="B10" s="3">
        <f t="shared" si="6"/>
        <v>4365000</v>
      </c>
      <c r="C10" s="3">
        <v>200000</v>
      </c>
      <c r="D10" s="3">
        <f t="shared" si="4"/>
        <v>346531.25</v>
      </c>
      <c r="E10" s="3">
        <f t="shared" si="1"/>
        <v>546531.25</v>
      </c>
      <c r="F10" s="3" t="e">
        <f t="shared" si="2"/>
        <v>#REF!</v>
      </c>
      <c r="G10" s="3" t="e">
        <f t="shared" si="0"/>
        <v>#REF!</v>
      </c>
      <c r="H10" s="3" t="e">
        <f t="shared" si="3"/>
        <v>#REF!</v>
      </c>
      <c r="I10" s="2" t="s">
        <v>92</v>
      </c>
      <c r="J10" s="2"/>
      <c r="K10" s="3">
        <v>5000</v>
      </c>
      <c r="L10" s="2"/>
      <c r="M10" s="2"/>
    </row>
    <row r="11" spans="1:13" ht="16.5" thickBot="1" x14ac:dyDescent="0.3">
      <c r="A11" s="2">
        <f t="shared" si="5"/>
        <v>2020</v>
      </c>
      <c r="B11" s="3">
        <f t="shared" si="6"/>
        <v>4165000</v>
      </c>
      <c r="C11" s="3">
        <v>220000</v>
      </c>
      <c r="D11" s="3">
        <f t="shared" si="4"/>
        <v>329468.75</v>
      </c>
      <c r="E11" s="3">
        <f t="shared" si="1"/>
        <v>549468.75</v>
      </c>
      <c r="F11" s="3" t="e">
        <f t="shared" si="2"/>
        <v>#REF!</v>
      </c>
      <c r="G11" s="3" t="e">
        <f t="shared" si="0"/>
        <v>#REF!</v>
      </c>
      <c r="H11" s="3" t="e">
        <f t="shared" si="3"/>
        <v>#REF!</v>
      </c>
      <c r="I11" s="2"/>
      <c r="J11" s="2"/>
      <c r="K11" s="5">
        <f>SUM(K4:K10)</f>
        <v>165000</v>
      </c>
      <c r="L11" s="2"/>
      <c r="M11" s="2"/>
    </row>
    <row r="12" spans="1:13" ht="15.75" x14ac:dyDescent="0.25">
      <c r="A12" s="2">
        <f t="shared" si="5"/>
        <v>2021</v>
      </c>
      <c r="B12" s="3">
        <f t="shared" si="6"/>
        <v>3945000</v>
      </c>
      <c r="C12" s="3">
        <v>235000</v>
      </c>
      <c r="D12" s="3">
        <f t="shared" si="4"/>
        <v>310984.375</v>
      </c>
      <c r="E12" s="3">
        <f t="shared" si="1"/>
        <v>545984.375</v>
      </c>
      <c r="F12" s="3" t="e">
        <f t="shared" si="2"/>
        <v>#REF!</v>
      </c>
      <c r="G12" s="3" t="e">
        <f t="shared" si="0"/>
        <v>#REF!</v>
      </c>
      <c r="H12" s="3" t="e">
        <f t="shared" si="3"/>
        <v>#REF!</v>
      </c>
      <c r="I12" s="2"/>
      <c r="J12" s="2"/>
      <c r="K12" s="3"/>
      <c r="L12" s="2"/>
      <c r="M12" s="2"/>
    </row>
    <row r="13" spans="1:13" ht="15.75" x14ac:dyDescent="0.25">
      <c r="A13" s="2">
        <f t="shared" si="5"/>
        <v>2022</v>
      </c>
      <c r="B13" s="3">
        <f t="shared" si="6"/>
        <v>3710000</v>
      </c>
      <c r="C13" s="3">
        <v>255000</v>
      </c>
      <c r="D13" s="3">
        <f t="shared" si="4"/>
        <v>291078.125</v>
      </c>
      <c r="E13" s="3">
        <f t="shared" si="1"/>
        <v>546078.125</v>
      </c>
      <c r="F13" s="3" t="e">
        <f t="shared" si="2"/>
        <v>#REF!</v>
      </c>
      <c r="G13" s="3" t="e">
        <f t="shared" si="0"/>
        <v>#REF!</v>
      </c>
      <c r="H13" s="3" t="e">
        <f t="shared" si="3"/>
        <v>#REF!</v>
      </c>
      <c r="I13" s="2" t="s">
        <v>93</v>
      </c>
      <c r="J13" s="2"/>
      <c r="K13" s="3"/>
      <c r="L13" s="2"/>
      <c r="M13" s="2"/>
    </row>
    <row r="14" spans="1:13" ht="15.75" x14ac:dyDescent="0.25">
      <c r="A14" s="2">
        <f t="shared" si="5"/>
        <v>2023</v>
      </c>
      <c r="B14" s="3">
        <f t="shared" si="6"/>
        <v>3455000</v>
      </c>
      <c r="C14" s="3">
        <v>275000</v>
      </c>
      <c r="D14" s="3">
        <f t="shared" si="4"/>
        <v>269546.875</v>
      </c>
      <c r="E14" s="3">
        <f t="shared" si="1"/>
        <v>544546.875</v>
      </c>
      <c r="F14" s="3" t="e">
        <f t="shared" si="2"/>
        <v>#REF!</v>
      </c>
      <c r="G14" s="3" t="e">
        <f t="shared" si="0"/>
        <v>#REF!</v>
      </c>
      <c r="H14" s="3" t="e">
        <f t="shared" si="3"/>
        <v>#REF!</v>
      </c>
      <c r="I14" s="2"/>
      <c r="J14" s="2"/>
      <c r="K14" s="3"/>
      <c r="L14" s="2"/>
      <c r="M14" s="2"/>
    </row>
    <row r="15" spans="1:13" ht="15.75" x14ac:dyDescent="0.25">
      <c r="A15" s="2">
        <f t="shared" si="5"/>
        <v>2024</v>
      </c>
      <c r="B15" s="3">
        <f t="shared" si="6"/>
        <v>3180000</v>
      </c>
      <c r="C15" s="3">
        <v>300000</v>
      </c>
      <c r="D15" s="3">
        <f t="shared" si="4"/>
        <v>246187.5</v>
      </c>
      <c r="E15" s="3">
        <f t="shared" si="1"/>
        <v>546187.5</v>
      </c>
      <c r="F15" s="3" t="e">
        <f t="shared" si="2"/>
        <v>#REF!</v>
      </c>
      <c r="G15" s="3" t="e">
        <f t="shared" si="0"/>
        <v>#REF!</v>
      </c>
      <c r="H15" s="3" t="e">
        <f t="shared" si="3"/>
        <v>#REF!</v>
      </c>
      <c r="I15" s="2"/>
      <c r="J15" s="2"/>
      <c r="K15" s="3"/>
      <c r="L15" s="2"/>
      <c r="M15" s="2"/>
    </row>
    <row r="16" spans="1:13" ht="15.75" x14ac:dyDescent="0.25">
      <c r="A16" s="2">
        <f t="shared" si="5"/>
        <v>2025</v>
      </c>
      <c r="B16" s="3">
        <f t="shared" si="6"/>
        <v>2880000</v>
      </c>
      <c r="C16" s="3">
        <v>320000</v>
      </c>
      <c r="D16" s="3">
        <f t="shared" si="4"/>
        <v>221000</v>
      </c>
      <c r="E16" s="3">
        <f t="shared" si="1"/>
        <v>541000</v>
      </c>
      <c r="F16" s="3" t="e">
        <f t="shared" si="2"/>
        <v>#REF!</v>
      </c>
      <c r="G16" s="3" t="e">
        <f t="shared" si="0"/>
        <v>#REF!</v>
      </c>
      <c r="H16" s="3" t="e">
        <f t="shared" si="3"/>
        <v>#REF!</v>
      </c>
      <c r="I16" s="2"/>
      <c r="J16" s="2"/>
      <c r="K16" s="3"/>
      <c r="L16" s="2"/>
      <c r="M16" s="2"/>
    </row>
    <row r="17" spans="1:13" ht="15.75" x14ac:dyDescent="0.25">
      <c r="A17" s="2">
        <f t="shared" si="5"/>
        <v>2026</v>
      </c>
      <c r="B17" s="3">
        <f t="shared" si="6"/>
        <v>2560000</v>
      </c>
      <c r="C17" s="3">
        <v>350000</v>
      </c>
      <c r="D17" s="3">
        <f t="shared" si="4"/>
        <v>193781.25</v>
      </c>
      <c r="E17" s="3">
        <f t="shared" si="1"/>
        <v>543781.25</v>
      </c>
      <c r="F17" s="3" t="e">
        <f t="shared" si="2"/>
        <v>#REF!</v>
      </c>
      <c r="G17" s="3" t="e">
        <f t="shared" si="0"/>
        <v>#REF!</v>
      </c>
      <c r="H17" s="3" t="e">
        <f t="shared" si="3"/>
        <v>#REF!</v>
      </c>
      <c r="I17" s="2"/>
      <c r="J17" s="2"/>
      <c r="K17" s="3"/>
      <c r="L17" s="2"/>
      <c r="M17" s="2"/>
    </row>
    <row r="18" spans="1:13" ht="15.75" x14ac:dyDescent="0.25">
      <c r="A18" s="2">
        <f t="shared" si="5"/>
        <v>2027</v>
      </c>
      <c r="B18" s="3">
        <f t="shared" si="6"/>
        <v>2210000</v>
      </c>
      <c r="C18" s="3">
        <v>375000</v>
      </c>
      <c r="D18" s="3">
        <f t="shared" si="4"/>
        <v>164328.125</v>
      </c>
      <c r="E18" s="3">
        <f t="shared" si="1"/>
        <v>539328.125</v>
      </c>
      <c r="F18" s="3" t="e">
        <f t="shared" si="2"/>
        <v>#REF!</v>
      </c>
      <c r="G18" s="3" t="e">
        <f t="shared" si="0"/>
        <v>#REF!</v>
      </c>
      <c r="H18" s="3" t="e">
        <f t="shared" si="3"/>
        <v>#REF!</v>
      </c>
      <c r="I18" s="2"/>
      <c r="J18" s="2"/>
      <c r="K18" s="3"/>
      <c r="L18" s="2"/>
      <c r="M18" s="2"/>
    </row>
    <row r="19" spans="1:13" ht="15.75" x14ac:dyDescent="0.25">
      <c r="A19" s="2">
        <f t="shared" si="5"/>
        <v>2028</v>
      </c>
      <c r="B19" s="3">
        <f t="shared" si="6"/>
        <v>1835000</v>
      </c>
      <c r="C19" s="3">
        <v>405000</v>
      </c>
      <c r="D19" s="3">
        <f t="shared" si="4"/>
        <v>132640.625</v>
      </c>
      <c r="E19" s="3">
        <f t="shared" si="1"/>
        <v>537640.625</v>
      </c>
      <c r="F19" s="3" t="e">
        <f t="shared" si="2"/>
        <v>#REF!</v>
      </c>
      <c r="G19" s="3" t="e">
        <f t="shared" si="0"/>
        <v>#REF!</v>
      </c>
      <c r="H19" s="3" t="e">
        <f t="shared" si="3"/>
        <v>#REF!</v>
      </c>
      <c r="I19" s="2"/>
      <c r="J19" s="2"/>
      <c r="K19" s="3"/>
      <c r="L19" s="2"/>
      <c r="M19" s="2"/>
    </row>
    <row r="20" spans="1:13" ht="15.75" x14ac:dyDescent="0.25">
      <c r="A20" s="2">
        <f t="shared" si="5"/>
        <v>2029</v>
      </c>
      <c r="B20" s="3">
        <f t="shared" si="6"/>
        <v>1430000</v>
      </c>
      <c r="C20" s="3">
        <v>440000</v>
      </c>
      <c r="D20" s="3">
        <f t="shared" si="4"/>
        <v>98312.5</v>
      </c>
      <c r="E20" s="3">
        <f t="shared" si="1"/>
        <v>538312.5</v>
      </c>
      <c r="F20" s="3" t="e">
        <f t="shared" si="2"/>
        <v>#REF!</v>
      </c>
      <c r="G20" s="3" t="e">
        <f t="shared" si="0"/>
        <v>#REF!</v>
      </c>
      <c r="H20" s="3" t="e">
        <f t="shared" si="3"/>
        <v>#REF!</v>
      </c>
      <c r="I20" s="2"/>
      <c r="J20" s="2"/>
      <c r="K20" s="2"/>
      <c r="L20" s="2"/>
      <c r="M20" s="2"/>
    </row>
    <row r="21" spans="1:13" ht="15.75" x14ac:dyDescent="0.25">
      <c r="A21" s="2">
        <f t="shared" si="5"/>
        <v>2030</v>
      </c>
      <c r="B21" s="3">
        <f t="shared" si="6"/>
        <v>990000</v>
      </c>
      <c r="C21" s="3">
        <v>475000</v>
      </c>
      <c r="D21" s="3">
        <f t="shared" si="4"/>
        <v>61140.625</v>
      </c>
      <c r="E21" s="3">
        <f t="shared" si="1"/>
        <v>536140.625</v>
      </c>
      <c r="F21" s="3" t="e">
        <f t="shared" si="2"/>
        <v>#REF!</v>
      </c>
      <c r="G21" s="3" t="e">
        <f t="shared" si="0"/>
        <v>#REF!</v>
      </c>
      <c r="H21" s="3" t="e">
        <f t="shared" si="3"/>
        <v>#REF!</v>
      </c>
      <c r="I21" s="2"/>
      <c r="J21" s="2"/>
      <c r="K21" s="2"/>
      <c r="L21" s="2"/>
      <c r="M21" s="2"/>
    </row>
    <row r="22" spans="1:13" ht="15.75" x14ac:dyDescent="0.25">
      <c r="A22" s="2">
        <f t="shared" si="5"/>
        <v>2031</v>
      </c>
      <c r="B22" s="3">
        <f t="shared" si="6"/>
        <v>515000</v>
      </c>
      <c r="C22" s="6">
        <v>515000</v>
      </c>
      <c r="D22" s="3">
        <f t="shared" si="4"/>
        <v>20921.875</v>
      </c>
      <c r="E22" s="3">
        <f t="shared" si="1"/>
        <v>535921.875</v>
      </c>
      <c r="F22" s="3" t="e">
        <f t="shared" si="2"/>
        <v>#REF!</v>
      </c>
      <c r="G22" s="3" t="e">
        <f t="shared" si="0"/>
        <v>#REF!</v>
      </c>
      <c r="H22" s="3" t="e">
        <f t="shared" si="3"/>
        <v>#REF!</v>
      </c>
      <c r="I22" s="2"/>
      <c r="J22" s="2"/>
      <c r="K22" s="2"/>
      <c r="L22" s="2"/>
      <c r="M22" s="2"/>
    </row>
    <row r="23" spans="1:13" ht="15.75" x14ac:dyDescent="0.25">
      <c r="A23" s="2" t="s">
        <v>77</v>
      </c>
      <c r="B23" s="3">
        <f t="shared" si="6"/>
        <v>0</v>
      </c>
      <c r="C23" s="3">
        <f>SUM(C4:C22)</f>
        <v>5290000</v>
      </c>
      <c r="D23" s="3"/>
      <c r="E23" s="3"/>
      <c r="F23" s="3"/>
      <c r="G23" s="3"/>
      <c r="H23" s="3">
        <f>546531.25-495113.8</f>
        <v>51417.450000000012</v>
      </c>
      <c r="I23" s="2"/>
      <c r="J23" s="2"/>
      <c r="K23" s="2"/>
      <c r="L23" s="2"/>
      <c r="M23" s="2"/>
    </row>
    <row r="24" spans="1:13" ht="15.75" x14ac:dyDescent="0.25">
      <c r="A24" s="2"/>
      <c r="B24" s="3"/>
      <c r="C24" s="3"/>
      <c r="D24" s="3"/>
      <c r="E24" s="3"/>
      <c r="F24" s="3"/>
      <c r="G24" s="3"/>
      <c r="H24" s="3"/>
      <c r="I24" s="2"/>
      <c r="J24" s="2"/>
      <c r="K24" s="2"/>
      <c r="L24" s="2"/>
      <c r="M24" s="2"/>
    </row>
    <row r="25" spans="1:13" ht="15.75" x14ac:dyDescent="0.25">
      <c r="A25" s="2"/>
      <c r="B25" s="3"/>
      <c r="C25" s="3"/>
      <c r="D25" s="3"/>
      <c r="E25" s="3"/>
      <c r="F25" s="3"/>
      <c r="G25" s="3"/>
      <c r="H25" s="3"/>
      <c r="I25" s="2"/>
      <c r="J25" s="2"/>
      <c r="K25" s="2"/>
      <c r="L25" s="2"/>
      <c r="M25" s="2"/>
    </row>
    <row r="26" spans="1:13" ht="15.75" x14ac:dyDescent="0.25">
      <c r="A26" s="2"/>
      <c r="B26" s="3"/>
      <c r="C26" s="3"/>
      <c r="D26" s="3"/>
      <c r="E26" s="3"/>
      <c r="F26" s="3"/>
      <c r="G26" s="3"/>
      <c r="H26" s="3"/>
      <c r="I26" s="2"/>
      <c r="J26" s="2"/>
      <c r="K26" s="2"/>
      <c r="L26" s="2"/>
      <c r="M26" s="2"/>
    </row>
  </sheetData>
  <pageMargins left="0.7" right="0.7" top="0.75" bottom="0.75" header="0.3" footer="0.3"/>
  <pageSetup scale="7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B1:BE39"/>
  <sheetViews>
    <sheetView topLeftCell="A4" workbookViewId="0">
      <selection activeCell="R17" sqref="R17"/>
    </sheetView>
  </sheetViews>
  <sheetFormatPr defaultColWidth="8.85546875" defaultRowHeight="15" x14ac:dyDescent="0.25"/>
  <cols>
    <col min="1" max="1" width="4.42578125" style="9" customWidth="1"/>
    <col min="2" max="2" width="24.140625" style="9" customWidth="1"/>
    <col min="3" max="3" width="2.28515625" style="9" customWidth="1"/>
    <col min="4" max="4" width="15.85546875" style="9" customWidth="1"/>
    <col min="5" max="5" width="13.5703125" style="9" customWidth="1"/>
    <col min="6" max="6" width="16.28515625" style="9" customWidth="1"/>
    <col min="7" max="7" width="2.7109375" style="9" customWidth="1"/>
    <col min="8" max="8" width="15.5703125" style="9" customWidth="1"/>
    <col min="9" max="9" width="12.7109375" style="9" customWidth="1"/>
    <col min="10" max="10" width="13.140625" style="9" customWidth="1"/>
    <col min="11" max="11" width="2.28515625" style="10" customWidth="1"/>
    <col min="12" max="12" width="11.28515625" style="9" bestFit="1" customWidth="1"/>
    <col min="13" max="13" width="11.28515625" style="9" customWidth="1"/>
    <col min="14" max="14" width="12.85546875" style="9" customWidth="1"/>
    <col min="15" max="15" width="2.28515625" style="10" customWidth="1"/>
    <col min="16" max="16" width="13.42578125" style="9" customWidth="1"/>
    <col min="17" max="17" width="11.28515625" style="9" customWidth="1"/>
    <col min="18" max="18" width="13.140625" style="9" customWidth="1"/>
    <col min="19" max="19" width="2.28515625" style="10" customWidth="1"/>
    <col min="20" max="20" width="12.85546875" style="9" bestFit="1" customWidth="1"/>
    <col min="21" max="21" width="12" style="9" customWidth="1"/>
    <col min="22" max="22" width="12.85546875" style="9" bestFit="1" customWidth="1"/>
    <col min="23" max="23" width="2.140625" style="10" customWidth="1"/>
    <col min="24" max="24" width="12" style="9" customWidth="1"/>
    <col min="25" max="25" width="12.85546875" style="9" customWidth="1"/>
    <col min="26" max="26" width="10.28515625" style="9" bestFit="1" customWidth="1"/>
    <col min="27" max="27" width="1.7109375" style="9" customWidth="1"/>
    <col min="28" max="28" width="10.28515625" style="9" bestFit="1" customWidth="1"/>
    <col min="29" max="29" width="9.85546875" style="9" bestFit="1" customWidth="1"/>
    <col min="30" max="30" width="10.28515625" style="9" bestFit="1" customWidth="1"/>
    <col min="31" max="31" width="2.28515625" style="9" customWidth="1"/>
    <col min="32" max="32" width="11" style="9" customWidth="1"/>
    <col min="33" max="33" width="10.28515625" style="9" bestFit="1" customWidth="1"/>
    <col min="34" max="34" width="11.42578125" style="9" customWidth="1"/>
    <col min="35" max="35" width="2.28515625" style="9" customWidth="1"/>
    <col min="36" max="36" width="12.5703125" style="9" customWidth="1"/>
    <col min="37" max="37" width="10.28515625" style="9" bestFit="1" customWidth="1"/>
    <col min="38" max="38" width="11.28515625" style="9" bestFit="1" customWidth="1"/>
    <col min="39" max="39" width="2.7109375" style="9" customWidth="1"/>
    <col min="40" max="40" width="15.42578125" style="9" hidden="1" customWidth="1"/>
    <col min="41" max="41" width="10.85546875" style="9" hidden="1" customWidth="1"/>
    <col min="42" max="42" width="15" style="9" hidden="1" customWidth="1"/>
    <col min="43" max="43" width="2.7109375" style="9" hidden="1" customWidth="1"/>
    <col min="44" max="44" width="15.140625" style="9" customWidth="1"/>
    <col min="45" max="45" width="13.28515625" style="9" customWidth="1"/>
    <col min="46" max="46" width="15.28515625" style="9" customWidth="1"/>
    <col min="47" max="16384" width="8.85546875" style="9"/>
  </cols>
  <sheetData>
    <row r="1" spans="2:49" x14ac:dyDescent="0.25">
      <c r="B1" s="8"/>
      <c r="M1" s="11"/>
      <c r="N1" s="12"/>
      <c r="Q1" s="11"/>
      <c r="R1" s="12"/>
    </row>
    <row r="2" spans="2:49" x14ac:dyDescent="0.25">
      <c r="B2" s="8"/>
      <c r="M2" s="11"/>
      <c r="Q2" s="11"/>
    </row>
    <row r="3" spans="2:49" ht="15.75" x14ac:dyDescent="0.25">
      <c r="B3" s="13" t="s">
        <v>104</v>
      </c>
      <c r="H3" s="14"/>
    </row>
    <row r="4" spans="2:49" x14ac:dyDescent="0.25">
      <c r="B4" s="8"/>
    </row>
    <row r="5" spans="2:49" x14ac:dyDescent="0.25">
      <c r="B5" s="8"/>
      <c r="C5" s="10"/>
      <c r="D5" s="15"/>
      <c r="E5" s="16"/>
      <c r="F5" s="17"/>
      <c r="G5" s="10"/>
      <c r="I5" s="18" t="s">
        <v>105</v>
      </c>
      <c r="M5" s="18" t="s">
        <v>106</v>
      </c>
      <c r="Q5" s="18" t="s">
        <v>107</v>
      </c>
      <c r="T5" s="15"/>
      <c r="U5" s="16"/>
      <c r="V5" s="17"/>
      <c r="X5" s="990" t="s">
        <v>108</v>
      </c>
      <c r="Y5" s="990"/>
      <c r="Z5" s="990"/>
      <c r="AA5" s="10"/>
      <c r="AB5" s="990" t="s">
        <v>109</v>
      </c>
      <c r="AC5" s="990"/>
      <c r="AD5" s="990"/>
      <c r="AE5" s="10"/>
      <c r="AF5" s="990" t="s">
        <v>110</v>
      </c>
      <c r="AG5" s="990"/>
      <c r="AH5" s="990"/>
      <c r="AI5" s="10"/>
      <c r="AJ5" s="15"/>
      <c r="AK5" s="16"/>
      <c r="AL5" s="17"/>
      <c r="AM5" s="10"/>
      <c r="AN5" s="986" t="s">
        <v>111</v>
      </c>
      <c r="AO5" s="987"/>
      <c r="AP5" s="988"/>
      <c r="AQ5" s="10"/>
      <c r="AR5" s="986" t="s">
        <v>112</v>
      </c>
      <c r="AS5" s="987"/>
      <c r="AT5" s="988"/>
    </row>
    <row r="6" spans="2:49" x14ac:dyDescent="0.25">
      <c r="B6" s="8"/>
      <c r="C6" s="18"/>
      <c r="D6" s="989" t="s">
        <v>113</v>
      </c>
      <c r="E6" s="990"/>
      <c r="F6" s="991"/>
      <c r="G6" s="18"/>
      <c r="H6" s="18"/>
      <c r="I6" s="19" t="s">
        <v>114</v>
      </c>
      <c r="J6" s="20"/>
      <c r="K6" s="18"/>
      <c r="M6" s="19" t="s">
        <v>115</v>
      </c>
      <c r="N6" s="20"/>
      <c r="O6" s="18"/>
      <c r="Q6" s="21" t="s">
        <v>116</v>
      </c>
      <c r="R6" s="20"/>
      <c r="S6" s="18"/>
      <c r="T6" s="989" t="s">
        <v>117</v>
      </c>
      <c r="U6" s="990"/>
      <c r="V6" s="991"/>
      <c r="W6" s="18"/>
      <c r="Y6" s="22" t="s">
        <v>118</v>
      </c>
      <c r="AA6" s="18"/>
      <c r="AC6" s="22" t="s">
        <v>118</v>
      </c>
      <c r="AE6" s="18"/>
      <c r="AG6" s="22" t="s">
        <v>118</v>
      </c>
      <c r="AI6" s="18"/>
      <c r="AJ6" s="989" t="s">
        <v>119</v>
      </c>
      <c r="AK6" s="990"/>
      <c r="AL6" s="991"/>
      <c r="AM6" s="18"/>
      <c r="AN6" s="23"/>
      <c r="AO6" s="22" t="s">
        <v>120</v>
      </c>
      <c r="AP6" s="24"/>
      <c r="AQ6" s="18"/>
      <c r="AR6" s="23"/>
      <c r="AS6" s="25" t="s">
        <v>121</v>
      </c>
      <c r="AT6" s="24"/>
    </row>
    <row r="7" spans="2:49" x14ac:dyDescent="0.25">
      <c r="C7" s="18"/>
      <c r="D7" s="26" t="s">
        <v>122</v>
      </c>
      <c r="E7" s="27" t="s">
        <v>123</v>
      </c>
      <c r="F7" s="28" t="s">
        <v>124</v>
      </c>
      <c r="G7" s="18"/>
      <c r="H7" s="27" t="s">
        <v>122</v>
      </c>
      <c r="I7" s="27" t="s">
        <v>123</v>
      </c>
      <c r="J7" s="27" t="s">
        <v>124</v>
      </c>
      <c r="K7" s="18"/>
      <c r="L7" s="27" t="s">
        <v>122</v>
      </c>
      <c r="M7" s="27" t="s">
        <v>123</v>
      </c>
      <c r="N7" s="27" t="s">
        <v>124</v>
      </c>
      <c r="O7" s="18"/>
      <c r="P7" s="27" t="s">
        <v>122</v>
      </c>
      <c r="Q7" s="27" t="s">
        <v>123</v>
      </c>
      <c r="R7" s="27" t="s">
        <v>124</v>
      </c>
      <c r="S7" s="18"/>
      <c r="T7" s="26" t="s">
        <v>122</v>
      </c>
      <c r="U7" s="27" t="s">
        <v>123</v>
      </c>
      <c r="V7" s="28" t="s">
        <v>124</v>
      </c>
      <c r="W7" s="18"/>
      <c r="X7" s="27" t="s">
        <v>122</v>
      </c>
      <c r="Y7" s="27" t="s">
        <v>123</v>
      </c>
      <c r="Z7" s="27" t="s">
        <v>124</v>
      </c>
      <c r="AA7" s="18"/>
      <c r="AB7" s="27" t="s">
        <v>122</v>
      </c>
      <c r="AC7" s="27" t="s">
        <v>123</v>
      </c>
      <c r="AD7" s="27" t="s">
        <v>124</v>
      </c>
      <c r="AE7" s="18"/>
      <c r="AF7" s="27" t="s">
        <v>122</v>
      </c>
      <c r="AG7" s="27" t="s">
        <v>123</v>
      </c>
      <c r="AH7" s="27" t="s">
        <v>124</v>
      </c>
      <c r="AI7" s="18"/>
      <c r="AJ7" s="26" t="s">
        <v>122</v>
      </c>
      <c r="AK7" s="27" t="s">
        <v>123</v>
      </c>
      <c r="AL7" s="28" t="s">
        <v>124</v>
      </c>
      <c r="AM7" s="18"/>
      <c r="AN7" s="26" t="s">
        <v>122</v>
      </c>
      <c r="AO7" s="27" t="s">
        <v>123</v>
      </c>
      <c r="AP7" s="28" t="s">
        <v>124</v>
      </c>
      <c r="AQ7" s="18"/>
      <c r="AR7" s="26" t="s">
        <v>122</v>
      </c>
      <c r="AS7" s="27" t="s">
        <v>123</v>
      </c>
      <c r="AT7" s="28" t="s">
        <v>124</v>
      </c>
      <c r="AV7" s="10"/>
    </row>
    <row r="8" spans="2:49" x14ac:dyDescent="0.25">
      <c r="C8" s="29"/>
      <c r="D8" s="30"/>
      <c r="E8" s="29"/>
      <c r="F8" s="31"/>
      <c r="G8" s="29"/>
      <c r="H8" s="32"/>
      <c r="I8" s="32"/>
      <c r="J8" s="32"/>
      <c r="K8" s="29"/>
      <c r="L8" s="32"/>
      <c r="M8" s="32"/>
      <c r="N8" s="32"/>
      <c r="O8" s="29"/>
      <c r="P8" s="32"/>
      <c r="Q8" s="32"/>
      <c r="R8" s="32"/>
      <c r="S8" s="29"/>
      <c r="T8" s="30"/>
      <c r="U8" s="29"/>
      <c r="V8" s="31"/>
      <c r="W8" s="29"/>
      <c r="X8" s="32"/>
      <c r="Y8" s="32"/>
      <c r="Z8" s="32"/>
      <c r="AA8" s="32"/>
      <c r="AB8" s="32"/>
      <c r="AC8" s="32"/>
      <c r="AD8" s="32"/>
      <c r="AE8" s="29"/>
      <c r="AF8" s="32"/>
      <c r="AG8" s="32"/>
      <c r="AH8" s="32"/>
      <c r="AI8" s="29"/>
      <c r="AJ8" s="30"/>
      <c r="AK8" s="29"/>
      <c r="AL8" s="31"/>
      <c r="AM8" s="29"/>
      <c r="AN8" s="33"/>
      <c r="AO8" s="32"/>
      <c r="AP8" s="34"/>
      <c r="AQ8" s="29"/>
      <c r="AR8" s="33"/>
      <c r="AS8" s="32"/>
      <c r="AT8" s="34"/>
      <c r="AV8" s="29"/>
    </row>
    <row r="9" spans="2:49" x14ac:dyDescent="0.25">
      <c r="B9" s="9">
        <v>2012</v>
      </c>
      <c r="C9" s="29"/>
      <c r="D9" s="35">
        <f t="shared" ref="D9:E28" si="0">T9+AJ9+AR9+AN9</f>
        <v>199288.03</v>
      </c>
      <c r="E9" s="36">
        <f t="shared" si="0"/>
        <v>481209.58</v>
      </c>
      <c r="F9" s="37">
        <f>SUM(D9:E9)</f>
        <v>680497.61</v>
      </c>
      <c r="G9" s="36"/>
      <c r="H9" s="7">
        <v>124200</v>
      </c>
      <c r="I9" s="7">
        <f>6703.75+5927.5</f>
        <v>12631.25</v>
      </c>
      <c r="J9" s="7">
        <f t="shared" ref="J9:J16" si="1">SUM(H9:I9)</f>
        <v>136831.25</v>
      </c>
      <c r="K9" s="36"/>
      <c r="L9" s="7">
        <v>48000</v>
      </c>
      <c r="M9" s="7">
        <v>12126.4</v>
      </c>
      <c r="N9" s="7">
        <f t="shared" ref="N9:N21" si="2">SUM(L9:M9)</f>
        <v>60126.400000000001</v>
      </c>
      <c r="O9" s="36"/>
      <c r="P9" s="7">
        <v>21000</v>
      </c>
      <c r="Q9" s="7">
        <f>12588.35+12588.35</f>
        <v>25176.7</v>
      </c>
      <c r="R9" s="7">
        <f t="shared" ref="R9:R26" si="3">SUM(P9:Q9)</f>
        <v>46176.7</v>
      </c>
      <c r="S9" s="36"/>
      <c r="T9" s="35">
        <f t="shared" ref="T9:U27" si="4">H9+L9+P9</f>
        <v>193200</v>
      </c>
      <c r="U9" s="36">
        <f t="shared" si="4"/>
        <v>49934.350000000006</v>
      </c>
      <c r="V9" s="37">
        <f t="shared" ref="V9:V26" si="5">SUM(T9:U9)</f>
        <v>243134.35</v>
      </c>
      <c r="W9" s="36"/>
      <c r="X9" s="7">
        <v>6088.03</v>
      </c>
      <c r="Y9" s="7">
        <v>1462.73</v>
      </c>
      <c r="Z9" s="7">
        <f>SUM(X9:Y9)</f>
        <v>7550.76</v>
      </c>
      <c r="AA9" s="36"/>
      <c r="AB9" s="7"/>
      <c r="AC9" s="7"/>
      <c r="AD9" s="7"/>
      <c r="AE9" s="36"/>
      <c r="AF9" s="7"/>
      <c r="AG9" s="7"/>
      <c r="AH9" s="7"/>
      <c r="AI9" s="36"/>
      <c r="AJ9" s="35">
        <f t="shared" ref="AJ9:AK13" si="6">X9+AB9+AF9</f>
        <v>6088.03</v>
      </c>
      <c r="AK9" s="36">
        <f t="shared" si="6"/>
        <v>1462.73</v>
      </c>
      <c r="AL9" s="37">
        <f>SUM(AJ9:AK9)</f>
        <v>7550.76</v>
      </c>
      <c r="AM9" s="36"/>
      <c r="AN9" s="35"/>
      <c r="AO9" s="36"/>
      <c r="AP9" s="37"/>
      <c r="AQ9" s="36"/>
      <c r="AR9" s="35"/>
      <c r="AS9" s="36">
        <f>214906.25+214906.25</f>
        <v>429812.5</v>
      </c>
      <c r="AT9" s="37">
        <f t="shared" ref="AT9:AT28" si="7">SUM(AR9:AS9)</f>
        <v>429812.5</v>
      </c>
      <c r="AV9" s="29"/>
      <c r="AW9" s="29"/>
    </row>
    <row r="10" spans="2:49" x14ac:dyDescent="0.25">
      <c r="B10" s="9">
        <v>2013</v>
      </c>
      <c r="C10" s="29"/>
      <c r="D10" s="35">
        <f t="shared" si="0"/>
        <v>332088.73</v>
      </c>
      <c r="E10" s="36">
        <f t="shared" si="0"/>
        <v>472735.54000000004</v>
      </c>
      <c r="F10" s="37">
        <f>SUM(D10:E10)</f>
        <v>804824.27</v>
      </c>
      <c r="G10" s="36"/>
      <c r="H10" s="7">
        <v>130700</v>
      </c>
      <c r="I10" s="7">
        <f>5927.5+5110.63</f>
        <v>11038.130000000001</v>
      </c>
      <c r="J10" s="7">
        <f t="shared" si="1"/>
        <v>141738.13</v>
      </c>
      <c r="K10" s="36"/>
      <c r="L10" s="7">
        <v>48000</v>
      </c>
      <c r="M10" s="7">
        <v>11281.6</v>
      </c>
      <c r="N10" s="7">
        <f t="shared" si="2"/>
        <v>59281.599999999999</v>
      </c>
      <c r="O10" s="36"/>
      <c r="P10" s="7">
        <v>22000</v>
      </c>
      <c r="Q10" s="7">
        <f>12259.7+12259.7</f>
        <v>24519.4</v>
      </c>
      <c r="R10" s="7">
        <f t="shared" si="3"/>
        <v>46519.4</v>
      </c>
      <c r="S10" s="36"/>
      <c r="T10" s="35">
        <f t="shared" si="4"/>
        <v>200700</v>
      </c>
      <c r="U10" s="36">
        <f t="shared" si="4"/>
        <v>46839.130000000005</v>
      </c>
      <c r="V10" s="37">
        <f t="shared" si="5"/>
        <v>247539.13</v>
      </c>
      <c r="W10" s="36"/>
      <c r="X10" s="7">
        <v>6388.73</v>
      </c>
      <c r="Y10" s="7">
        <v>1162.03</v>
      </c>
      <c r="Z10" s="7">
        <f>SUM(X10:Y10)</f>
        <v>7550.7599999999993</v>
      </c>
      <c r="AA10" s="36"/>
      <c r="AB10" s="7"/>
      <c r="AC10" s="7"/>
      <c r="AD10" s="7"/>
      <c r="AE10" s="36"/>
      <c r="AF10" s="7"/>
      <c r="AG10" s="7"/>
      <c r="AH10" s="7"/>
      <c r="AI10" s="36"/>
      <c r="AJ10" s="35">
        <f t="shared" si="6"/>
        <v>6388.73</v>
      </c>
      <c r="AK10" s="36">
        <f t="shared" si="6"/>
        <v>1162.03</v>
      </c>
      <c r="AL10" s="37">
        <f>SUM(AJ10:AK10)</f>
        <v>7550.7599999999993</v>
      </c>
      <c r="AM10" s="36"/>
      <c r="AN10" s="35"/>
      <c r="AO10" s="36"/>
      <c r="AP10" s="37"/>
      <c r="AQ10" s="36"/>
      <c r="AR10" s="35">
        <v>125000</v>
      </c>
      <c r="AS10" s="36">
        <f>214906.25+209828.13</f>
        <v>424734.38</v>
      </c>
      <c r="AT10" s="37">
        <f t="shared" si="7"/>
        <v>549734.38</v>
      </c>
      <c r="AV10" s="29"/>
      <c r="AW10" s="29"/>
    </row>
    <row r="11" spans="2:49" x14ac:dyDescent="0.25">
      <c r="B11" s="9">
        <v>2014</v>
      </c>
      <c r="C11" s="29"/>
      <c r="D11" s="35">
        <f t="shared" si="0"/>
        <v>351205.20999999996</v>
      </c>
      <c r="E11" s="36">
        <f t="shared" si="0"/>
        <v>458580.91000000003</v>
      </c>
      <c r="F11" s="37">
        <f t="shared" ref="F11:F19" si="8">SUM(D11:E11)</f>
        <v>809786.12</v>
      </c>
      <c r="G11" s="36"/>
      <c r="H11" s="7">
        <v>137500</v>
      </c>
      <c r="I11" s="38">
        <f>5110.63+4251.25</f>
        <v>9361.880000000001</v>
      </c>
      <c r="J11" s="7">
        <f t="shared" si="1"/>
        <v>146861.88</v>
      </c>
      <c r="K11" s="36"/>
      <c r="L11" s="7">
        <v>49000</v>
      </c>
      <c r="M11" s="7">
        <v>10436.799999999999</v>
      </c>
      <c r="N11" s="7">
        <f t="shared" si="2"/>
        <v>59436.800000000003</v>
      </c>
      <c r="O11" s="36"/>
      <c r="P11" s="7">
        <v>23000</v>
      </c>
      <c r="Q11" s="7">
        <f>11882.4+11882.4</f>
        <v>23764.799999999999</v>
      </c>
      <c r="R11" s="7">
        <f t="shared" si="3"/>
        <v>46764.800000000003</v>
      </c>
      <c r="S11" s="36"/>
      <c r="T11" s="35">
        <f t="shared" si="4"/>
        <v>209500</v>
      </c>
      <c r="U11" s="36">
        <f t="shared" si="4"/>
        <v>43563.479999999996</v>
      </c>
      <c r="V11" s="37">
        <f t="shared" si="5"/>
        <v>253063.47999999998</v>
      </c>
      <c r="W11" s="36"/>
      <c r="X11" s="7">
        <v>6705.21</v>
      </c>
      <c r="Y11" s="7">
        <v>845.55</v>
      </c>
      <c r="Z11" s="7">
        <f>SUM(X11:Y11)</f>
        <v>7550.76</v>
      </c>
      <c r="AA11" s="36"/>
      <c r="AB11" s="7"/>
      <c r="AC11" s="7"/>
      <c r="AD11" s="7"/>
      <c r="AE11" s="36"/>
      <c r="AF11" s="7"/>
      <c r="AG11" s="7"/>
      <c r="AH11" s="7"/>
      <c r="AI11" s="36"/>
      <c r="AJ11" s="35">
        <f t="shared" si="6"/>
        <v>6705.21</v>
      </c>
      <c r="AK11" s="36">
        <f t="shared" si="6"/>
        <v>845.55</v>
      </c>
      <c r="AL11" s="37">
        <f>SUM(AJ11:AK11)</f>
        <v>7550.76</v>
      </c>
      <c r="AM11" s="36"/>
      <c r="AN11" s="35"/>
      <c r="AO11" s="7"/>
      <c r="AP11" s="37"/>
      <c r="AQ11" s="36"/>
      <c r="AR11" s="35">
        <v>135000</v>
      </c>
      <c r="AS11" s="36">
        <f>209828.13+204343.75</f>
        <v>414171.88</v>
      </c>
      <c r="AT11" s="37">
        <f t="shared" si="7"/>
        <v>549171.88</v>
      </c>
      <c r="AV11" s="29"/>
      <c r="AW11" s="29"/>
    </row>
    <row r="12" spans="2:49" x14ac:dyDescent="0.25">
      <c r="B12" s="9">
        <v>2015</v>
      </c>
      <c r="C12" s="29"/>
      <c r="D12" s="35">
        <f t="shared" si="0"/>
        <v>374637.37</v>
      </c>
      <c r="E12" s="36">
        <f t="shared" si="0"/>
        <v>443184.89</v>
      </c>
      <c r="F12" s="37">
        <f t="shared" si="8"/>
        <v>817822.26</v>
      </c>
      <c r="G12" s="36"/>
      <c r="H12" s="7">
        <v>144600</v>
      </c>
      <c r="I12" s="7">
        <f>4251.25+3347.5</f>
        <v>7598.75</v>
      </c>
      <c r="J12" s="7">
        <f t="shared" si="1"/>
        <v>152198.75</v>
      </c>
      <c r="K12" s="36"/>
      <c r="L12" s="7">
        <v>50000</v>
      </c>
      <c r="M12" s="7">
        <v>9574.4</v>
      </c>
      <c r="N12" s="7">
        <f t="shared" si="2"/>
        <v>59574.400000000001</v>
      </c>
      <c r="O12" s="36"/>
      <c r="P12" s="7">
        <v>23000</v>
      </c>
      <c r="Q12" s="38">
        <f>11452.3+11452.3</f>
        <v>22904.6</v>
      </c>
      <c r="R12" s="7">
        <f t="shared" si="3"/>
        <v>45904.6</v>
      </c>
      <c r="S12" s="36"/>
      <c r="T12" s="35">
        <f t="shared" si="4"/>
        <v>217600</v>
      </c>
      <c r="U12" s="36">
        <f t="shared" si="4"/>
        <v>40077.75</v>
      </c>
      <c r="V12" s="37">
        <f t="shared" si="5"/>
        <v>257677.75</v>
      </c>
      <c r="W12" s="36"/>
      <c r="X12" s="7">
        <v>7037.37</v>
      </c>
      <c r="Y12" s="7">
        <v>513.39</v>
      </c>
      <c r="Z12" s="7">
        <f>SUM(X12:Y12)</f>
        <v>7550.76</v>
      </c>
      <c r="AA12" s="36"/>
      <c r="AB12" s="7"/>
      <c r="AC12" s="7"/>
      <c r="AD12" s="7"/>
      <c r="AE12" s="36"/>
      <c r="AF12" s="7"/>
      <c r="AG12" s="7"/>
      <c r="AH12" s="7"/>
      <c r="AI12" s="36"/>
      <c r="AJ12" s="35">
        <f t="shared" si="6"/>
        <v>7037.37</v>
      </c>
      <c r="AK12" s="36">
        <f t="shared" si="6"/>
        <v>513.39</v>
      </c>
      <c r="AL12" s="37">
        <f>SUM(AJ12:AK12)</f>
        <v>7550.76</v>
      </c>
      <c r="AM12" s="36"/>
      <c r="AN12" s="35"/>
      <c r="AO12" s="7"/>
      <c r="AP12" s="37"/>
      <c r="AQ12" s="36"/>
      <c r="AR12" s="35">
        <v>150000</v>
      </c>
      <c r="AS12" s="36">
        <f>204343.75+198250</f>
        <v>402593.75</v>
      </c>
      <c r="AT12" s="37">
        <f t="shared" si="7"/>
        <v>552593.75</v>
      </c>
      <c r="AV12" s="29"/>
      <c r="AW12" s="29"/>
    </row>
    <row r="13" spans="2:49" x14ac:dyDescent="0.25">
      <c r="B13" s="9">
        <v>2016</v>
      </c>
      <c r="C13" s="29"/>
      <c r="D13" s="35">
        <f t="shared" si="0"/>
        <v>393856.75</v>
      </c>
      <c r="E13" s="36">
        <f t="shared" si="0"/>
        <v>426581.26</v>
      </c>
      <c r="F13" s="37">
        <f t="shared" si="8"/>
        <v>820438.01</v>
      </c>
      <c r="G13" s="36"/>
      <c r="H13" s="7">
        <v>152100</v>
      </c>
      <c r="I13" s="7">
        <f>3347.5+2396.88</f>
        <v>5744.38</v>
      </c>
      <c r="J13" s="7">
        <f t="shared" si="1"/>
        <v>157844.38</v>
      </c>
      <c r="K13" s="36"/>
      <c r="L13" s="7">
        <v>51000</v>
      </c>
      <c r="M13" s="7">
        <v>8694.4</v>
      </c>
      <c r="N13" s="7">
        <f t="shared" si="2"/>
        <v>59694.400000000001</v>
      </c>
      <c r="O13" s="36"/>
      <c r="P13" s="7">
        <v>24000</v>
      </c>
      <c r="Q13" s="7">
        <f>10988.85+10988.85</f>
        <v>21977.7</v>
      </c>
      <c r="R13" s="7">
        <f t="shared" si="3"/>
        <v>45977.7</v>
      </c>
      <c r="S13" s="36"/>
      <c r="T13" s="35">
        <f t="shared" si="4"/>
        <v>227100</v>
      </c>
      <c r="U13" s="36">
        <f t="shared" si="4"/>
        <v>36416.479999999996</v>
      </c>
      <c r="V13" s="37">
        <f t="shared" si="5"/>
        <v>263516.48</v>
      </c>
      <c r="W13" s="36"/>
      <c r="X13" s="7">
        <v>6756.75</v>
      </c>
      <c r="Y13" s="7">
        <v>164.78</v>
      </c>
      <c r="Z13" s="7">
        <f>SUM(X13:Y13)</f>
        <v>6921.53</v>
      </c>
      <c r="AA13" s="36"/>
      <c r="AB13" s="7"/>
      <c r="AC13" s="7"/>
      <c r="AD13" s="7"/>
      <c r="AE13" s="36"/>
      <c r="AF13" s="7"/>
      <c r="AG13" s="7"/>
      <c r="AH13" s="7"/>
      <c r="AI13" s="36"/>
      <c r="AJ13" s="35">
        <f t="shared" si="6"/>
        <v>6756.75</v>
      </c>
      <c r="AK13" s="36">
        <f t="shared" si="6"/>
        <v>164.78</v>
      </c>
      <c r="AL13" s="37">
        <f>SUM(AJ13:AK13)</f>
        <v>6921.53</v>
      </c>
      <c r="AM13" s="36"/>
      <c r="AN13" s="35"/>
      <c r="AO13" s="7"/>
      <c r="AP13" s="37"/>
      <c r="AQ13" s="36"/>
      <c r="AR13" s="35">
        <v>160000</v>
      </c>
      <c r="AS13" s="36">
        <f>198250+191750</f>
        <v>390000</v>
      </c>
      <c r="AT13" s="37">
        <f t="shared" si="7"/>
        <v>550000</v>
      </c>
      <c r="AV13" s="29"/>
      <c r="AW13" s="29"/>
    </row>
    <row r="14" spans="2:49" x14ac:dyDescent="0.25">
      <c r="B14" s="9">
        <v>2017</v>
      </c>
      <c r="C14" s="29"/>
      <c r="D14" s="35">
        <f t="shared" si="0"/>
        <v>407000</v>
      </c>
      <c r="E14" s="36">
        <f t="shared" si="0"/>
        <v>409098.81</v>
      </c>
      <c r="F14" s="37">
        <f t="shared" si="8"/>
        <v>816098.81</v>
      </c>
      <c r="G14" s="36"/>
      <c r="H14" s="7">
        <v>160000</v>
      </c>
      <c r="I14" s="7">
        <f>2396.88+1396.88</f>
        <v>3793.76</v>
      </c>
      <c r="J14" s="7">
        <f t="shared" si="1"/>
        <v>163793.76</v>
      </c>
      <c r="K14" s="36"/>
      <c r="L14" s="7">
        <v>52000</v>
      </c>
      <c r="M14" s="7">
        <v>7796.8</v>
      </c>
      <c r="N14" s="7">
        <f t="shared" si="2"/>
        <v>59796.800000000003</v>
      </c>
      <c r="O14" s="36"/>
      <c r="P14" s="7">
        <v>25000</v>
      </c>
      <c r="Q14" s="7">
        <f>10457.25+10457.25</f>
        <v>20914.5</v>
      </c>
      <c r="R14" s="7">
        <f t="shared" si="3"/>
        <v>45914.5</v>
      </c>
      <c r="S14" s="36"/>
      <c r="T14" s="35">
        <f t="shared" si="4"/>
        <v>237000</v>
      </c>
      <c r="U14" s="36">
        <f t="shared" si="4"/>
        <v>32505.06</v>
      </c>
      <c r="V14" s="37">
        <f t="shared" si="5"/>
        <v>269505.06</v>
      </c>
      <c r="W14" s="36"/>
      <c r="X14" s="7"/>
      <c r="Y14" s="7"/>
      <c r="Z14" s="7"/>
      <c r="AA14" s="36"/>
      <c r="AB14" s="7"/>
      <c r="AC14" s="7"/>
      <c r="AD14" s="7"/>
      <c r="AE14" s="36"/>
      <c r="AF14" s="7"/>
      <c r="AG14" s="7"/>
      <c r="AH14" s="7"/>
      <c r="AI14" s="36"/>
      <c r="AJ14" s="35"/>
      <c r="AK14" s="36"/>
      <c r="AL14" s="37"/>
      <c r="AM14" s="36"/>
      <c r="AN14" s="35"/>
      <c r="AO14" s="7"/>
      <c r="AP14" s="37"/>
      <c r="AQ14" s="36"/>
      <c r="AR14" s="35">
        <v>170000</v>
      </c>
      <c r="AS14" s="36">
        <f>191750+184843.75</f>
        <v>376593.75</v>
      </c>
      <c r="AT14" s="37">
        <f t="shared" si="7"/>
        <v>546593.75</v>
      </c>
      <c r="AV14" s="29"/>
      <c r="AW14" s="29"/>
    </row>
    <row r="15" spans="2:49" x14ac:dyDescent="0.25">
      <c r="B15" s="9">
        <v>2018</v>
      </c>
      <c r="C15" s="29"/>
      <c r="D15" s="35">
        <f t="shared" si="0"/>
        <v>433400</v>
      </c>
      <c r="E15" s="36">
        <f t="shared" si="0"/>
        <v>390501.74</v>
      </c>
      <c r="F15" s="37">
        <f t="shared" si="8"/>
        <v>823901.74</v>
      </c>
      <c r="G15" s="36"/>
      <c r="H15" s="7">
        <v>168400</v>
      </c>
      <c r="I15" s="7">
        <f>1396.88+344.38</f>
        <v>1741.2600000000002</v>
      </c>
      <c r="J15" s="7">
        <f t="shared" si="1"/>
        <v>170141.26</v>
      </c>
      <c r="K15" s="36"/>
      <c r="L15" s="170">
        <v>53000</v>
      </c>
      <c r="M15" s="170">
        <v>6881.6</v>
      </c>
      <c r="N15" s="170">
        <f t="shared" si="2"/>
        <v>59881.599999999999</v>
      </c>
      <c r="O15" s="36"/>
      <c r="P15" s="170">
        <v>27000</v>
      </c>
      <c r="Q15" s="170">
        <f>9853.5+9853.5</f>
        <v>19707</v>
      </c>
      <c r="R15" s="170">
        <f t="shared" si="3"/>
        <v>46707</v>
      </c>
      <c r="S15" s="36"/>
      <c r="T15" s="35">
        <f t="shared" si="4"/>
        <v>248400</v>
      </c>
      <c r="U15" s="36">
        <f t="shared" si="4"/>
        <v>28329.86</v>
      </c>
      <c r="V15" s="37">
        <f t="shared" si="5"/>
        <v>276729.86</v>
      </c>
      <c r="W15" s="36"/>
      <c r="X15" s="7"/>
      <c r="Y15" s="7"/>
      <c r="Z15" s="7"/>
      <c r="AA15" s="36"/>
      <c r="AB15" s="7"/>
      <c r="AC15" s="7"/>
      <c r="AD15" s="7"/>
      <c r="AE15" s="36"/>
      <c r="AF15" s="7"/>
      <c r="AG15" s="7"/>
      <c r="AH15" s="7"/>
      <c r="AI15" s="36"/>
      <c r="AJ15" s="35"/>
      <c r="AK15" s="36"/>
      <c r="AL15" s="37"/>
      <c r="AM15" s="36"/>
      <c r="AN15" s="35"/>
      <c r="AO15" s="7"/>
      <c r="AP15" s="37"/>
      <c r="AQ15" s="36"/>
      <c r="AR15" s="171">
        <v>185000</v>
      </c>
      <c r="AS15" s="172">
        <f>184843.75+177328.13</f>
        <v>362171.88</v>
      </c>
      <c r="AT15" s="173">
        <f t="shared" si="7"/>
        <v>547171.88</v>
      </c>
      <c r="AV15" s="10"/>
    </row>
    <row r="16" spans="2:49" x14ac:dyDescent="0.25">
      <c r="B16" s="9">
        <v>2019</v>
      </c>
      <c r="C16" s="29"/>
      <c r="D16" s="35">
        <f t="shared" si="0"/>
        <v>337100</v>
      </c>
      <c r="E16" s="36">
        <f t="shared" si="0"/>
        <v>371146.34</v>
      </c>
      <c r="F16" s="37">
        <f t="shared" si="8"/>
        <v>708246.34000000008</v>
      </c>
      <c r="G16" s="36"/>
      <c r="H16" s="7">
        <v>55100</v>
      </c>
      <c r="I16" s="7">
        <v>344.38</v>
      </c>
      <c r="J16" s="7">
        <f t="shared" si="1"/>
        <v>55444.38</v>
      </c>
      <c r="K16" s="36"/>
      <c r="L16" s="7">
        <v>54000</v>
      </c>
      <c r="M16" s="7">
        <v>5948.8</v>
      </c>
      <c r="N16" s="7">
        <f t="shared" si="2"/>
        <v>59948.800000000003</v>
      </c>
      <c r="O16" s="36"/>
      <c r="P16" s="7">
        <v>28000</v>
      </c>
      <c r="Q16" s="7">
        <f>9160.95+9160.95</f>
        <v>18321.900000000001</v>
      </c>
      <c r="R16" s="7">
        <f t="shared" si="3"/>
        <v>46321.9</v>
      </c>
      <c r="S16" s="36"/>
      <c r="T16" s="35">
        <f t="shared" si="4"/>
        <v>137100</v>
      </c>
      <c r="U16" s="36">
        <f t="shared" si="4"/>
        <v>24615.08</v>
      </c>
      <c r="V16" s="37">
        <f t="shared" si="5"/>
        <v>161715.08000000002</v>
      </c>
      <c r="W16" s="36"/>
      <c r="X16" s="7"/>
      <c r="Y16" s="7"/>
      <c r="Z16" s="7"/>
      <c r="AA16" s="36"/>
      <c r="AB16" s="7"/>
      <c r="AC16" s="7"/>
      <c r="AD16" s="7"/>
      <c r="AE16" s="36"/>
      <c r="AF16" s="7"/>
      <c r="AG16" s="7"/>
      <c r="AH16" s="7"/>
      <c r="AI16" s="36"/>
      <c r="AJ16" s="35"/>
      <c r="AK16" s="36"/>
      <c r="AL16" s="37"/>
      <c r="AM16" s="36"/>
      <c r="AN16" s="35"/>
      <c r="AO16" s="7"/>
      <c r="AP16" s="37"/>
      <c r="AQ16" s="36"/>
      <c r="AR16" s="35">
        <v>200000</v>
      </c>
      <c r="AS16" s="36">
        <f>177328.13+169203.13</f>
        <v>346531.26</v>
      </c>
      <c r="AT16" s="37">
        <f t="shared" si="7"/>
        <v>546531.26</v>
      </c>
    </row>
    <row r="17" spans="2:46" x14ac:dyDescent="0.25">
      <c r="B17" s="9">
        <v>2020</v>
      </c>
      <c r="C17" s="29"/>
      <c r="D17" s="35">
        <f t="shared" si="0"/>
        <v>305000</v>
      </c>
      <c r="E17" s="36">
        <f t="shared" si="0"/>
        <v>351268.66000000003</v>
      </c>
      <c r="F17" s="37">
        <f t="shared" si="8"/>
        <v>656268.66</v>
      </c>
      <c r="G17" s="36"/>
      <c r="H17" s="7"/>
      <c r="I17" s="7"/>
      <c r="J17" s="7"/>
      <c r="K17" s="36"/>
      <c r="L17" s="7">
        <v>55000</v>
      </c>
      <c r="M17" s="7">
        <v>4998.3999999999996</v>
      </c>
      <c r="N17" s="7">
        <f t="shared" si="2"/>
        <v>59998.400000000001</v>
      </c>
      <c r="O17" s="36"/>
      <c r="P17" s="7">
        <v>30000</v>
      </c>
      <c r="Q17" s="7">
        <f>8400.75+8400.75</f>
        <v>16801.5</v>
      </c>
      <c r="R17" s="7">
        <f t="shared" si="3"/>
        <v>46801.5</v>
      </c>
      <c r="S17" s="36"/>
      <c r="T17" s="35">
        <f t="shared" si="4"/>
        <v>85000</v>
      </c>
      <c r="U17" s="36">
        <f t="shared" si="4"/>
        <v>21799.9</v>
      </c>
      <c r="V17" s="37">
        <f t="shared" si="5"/>
        <v>106799.9</v>
      </c>
      <c r="W17" s="36"/>
      <c r="X17" s="7"/>
      <c r="Y17" s="7"/>
      <c r="Z17" s="7"/>
      <c r="AA17" s="36"/>
      <c r="AB17" s="7"/>
      <c r="AC17" s="7"/>
      <c r="AD17" s="7"/>
      <c r="AE17" s="36"/>
      <c r="AF17" s="7"/>
      <c r="AG17" s="7"/>
      <c r="AH17" s="7"/>
      <c r="AI17" s="36"/>
      <c r="AJ17" s="35"/>
      <c r="AK17" s="36"/>
      <c r="AL17" s="37"/>
      <c r="AM17" s="36"/>
      <c r="AN17" s="35"/>
      <c r="AO17" s="7"/>
      <c r="AP17" s="37"/>
      <c r="AQ17" s="36"/>
      <c r="AR17" s="35">
        <v>220000</v>
      </c>
      <c r="AS17" s="36">
        <f>169203.13+160265.63</f>
        <v>329468.76</v>
      </c>
      <c r="AT17" s="37">
        <f t="shared" si="7"/>
        <v>549468.76</v>
      </c>
    </row>
    <row r="18" spans="2:46" x14ac:dyDescent="0.25">
      <c r="B18" s="9">
        <v>2021</v>
      </c>
      <c r="C18" s="29"/>
      <c r="D18" s="35">
        <f t="shared" si="0"/>
        <v>322000</v>
      </c>
      <c r="E18" s="36">
        <f t="shared" si="0"/>
        <v>330127.28000000003</v>
      </c>
      <c r="F18" s="37">
        <f t="shared" si="8"/>
        <v>652127.28</v>
      </c>
      <c r="G18" s="36"/>
      <c r="H18" s="7"/>
      <c r="I18" s="7"/>
      <c r="J18" s="7"/>
      <c r="K18" s="36"/>
      <c r="L18" s="7">
        <v>56000</v>
      </c>
      <c r="M18" s="7">
        <v>4030.4</v>
      </c>
      <c r="N18" s="7">
        <f t="shared" si="2"/>
        <v>60030.400000000001</v>
      </c>
      <c r="O18" s="36"/>
      <c r="P18" s="7">
        <v>31000</v>
      </c>
      <c r="Q18" s="7">
        <f>7556.25+7556.25</f>
        <v>15112.5</v>
      </c>
      <c r="R18" s="7">
        <f t="shared" si="3"/>
        <v>46112.5</v>
      </c>
      <c r="S18" s="36"/>
      <c r="T18" s="35">
        <f t="shared" si="4"/>
        <v>87000</v>
      </c>
      <c r="U18" s="36">
        <f t="shared" si="4"/>
        <v>19142.900000000001</v>
      </c>
      <c r="V18" s="37">
        <f t="shared" si="5"/>
        <v>106142.9</v>
      </c>
      <c r="W18" s="36"/>
      <c r="X18" s="7"/>
      <c r="Y18" s="7"/>
      <c r="Z18" s="7"/>
      <c r="AA18" s="36"/>
      <c r="AB18" s="7"/>
      <c r="AC18" s="7"/>
      <c r="AD18" s="7"/>
      <c r="AE18" s="36"/>
      <c r="AF18" s="7"/>
      <c r="AG18" s="7"/>
      <c r="AH18" s="7"/>
      <c r="AI18" s="36"/>
      <c r="AJ18" s="35"/>
      <c r="AK18" s="36"/>
      <c r="AL18" s="37"/>
      <c r="AM18" s="36"/>
      <c r="AN18" s="35"/>
      <c r="AO18" s="7"/>
      <c r="AP18" s="37"/>
      <c r="AQ18" s="36"/>
      <c r="AR18" s="35">
        <v>235000</v>
      </c>
      <c r="AS18" s="36">
        <f>160265.63+150718.75</f>
        <v>310984.38</v>
      </c>
      <c r="AT18" s="37">
        <f t="shared" si="7"/>
        <v>545984.38</v>
      </c>
    </row>
    <row r="19" spans="2:46" x14ac:dyDescent="0.25">
      <c r="B19" s="9">
        <v>2022</v>
      </c>
      <c r="C19" s="29"/>
      <c r="D19" s="35">
        <f t="shared" si="0"/>
        <v>344000</v>
      </c>
      <c r="E19" s="36">
        <f t="shared" si="0"/>
        <v>307986.13</v>
      </c>
      <c r="F19" s="37">
        <f t="shared" si="8"/>
        <v>651986.13</v>
      </c>
      <c r="G19" s="36"/>
      <c r="H19" s="7"/>
      <c r="I19" s="7"/>
      <c r="J19" s="7"/>
      <c r="K19" s="36"/>
      <c r="L19" s="7">
        <v>57000</v>
      </c>
      <c r="M19" s="7">
        <v>3044.8</v>
      </c>
      <c r="N19" s="7">
        <f t="shared" si="2"/>
        <v>60044.800000000003</v>
      </c>
      <c r="O19" s="36"/>
      <c r="P19" s="7">
        <v>32000</v>
      </c>
      <c r="Q19" s="7">
        <f>6931.6+6931.6</f>
        <v>13863.2</v>
      </c>
      <c r="R19" s="7">
        <f t="shared" si="3"/>
        <v>45863.199999999997</v>
      </c>
      <c r="S19" s="36"/>
      <c r="T19" s="35">
        <f t="shared" si="4"/>
        <v>89000</v>
      </c>
      <c r="U19" s="36">
        <f t="shared" si="4"/>
        <v>16908</v>
      </c>
      <c r="V19" s="37">
        <f t="shared" si="5"/>
        <v>105908</v>
      </c>
      <c r="W19" s="36"/>
      <c r="X19" s="7"/>
      <c r="Y19" s="7"/>
      <c r="Z19" s="7"/>
      <c r="AA19" s="36"/>
      <c r="AB19" s="7"/>
      <c r="AC19" s="7"/>
      <c r="AD19" s="7"/>
      <c r="AE19" s="36"/>
      <c r="AF19" s="7"/>
      <c r="AG19" s="7"/>
      <c r="AH19" s="7"/>
      <c r="AI19" s="36"/>
      <c r="AJ19" s="35"/>
      <c r="AK19" s="36"/>
      <c r="AL19" s="37"/>
      <c r="AM19" s="36"/>
      <c r="AN19" s="35"/>
      <c r="AO19" s="7"/>
      <c r="AP19" s="37"/>
      <c r="AQ19" s="36"/>
      <c r="AR19" s="35">
        <v>255000</v>
      </c>
      <c r="AS19" s="36">
        <f>150718.75+140359.38</f>
        <v>291078.13</v>
      </c>
      <c r="AT19" s="37">
        <f t="shared" si="7"/>
        <v>546078.13</v>
      </c>
    </row>
    <row r="20" spans="2:46" x14ac:dyDescent="0.25">
      <c r="B20" s="9">
        <v>2023</v>
      </c>
      <c r="C20" s="29"/>
      <c r="D20" s="35">
        <f t="shared" si="0"/>
        <v>366000</v>
      </c>
      <c r="E20" s="36">
        <f t="shared" si="0"/>
        <v>284162.08</v>
      </c>
      <c r="F20" s="37">
        <f t="shared" ref="F20:F28" si="9">SUM(D20:E20)</f>
        <v>650162.08000000007</v>
      </c>
      <c r="G20" s="36"/>
      <c r="H20" s="7"/>
      <c r="I20" s="7"/>
      <c r="J20" s="7"/>
      <c r="K20" s="36"/>
      <c r="L20" s="7">
        <v>57000</v>
      </c>
      <c r="M20" s="7">
        <v>2041.6</v>
      </c>
      <c r="N20" s="7">
        <f t="shared" si="2"/>
        <v>59041.599999999999</v>
      </c>
      <c r="O20" s="36"/>
      <c r="P20" s="7">
        <v>34000</v>
      </c>
      <c r="Q20" s="7">
        <f>6286.8+6286.8</f>
        <v>12573.6</v>
      </c>
      <c r="R20" s="7">
        <f t="shared" si="3"/>
        <v>46573.599999999999</v>
      </c>
      <c r="S20" s="36"/>
      <c r="T20" s="35">
        <f t="shared" si="4"/>
        <v>91000</v>
      </c>
      <c r="U20" s="36">
        <f t="shared" si="4"/>
        <v>14615.2</v>
      </c>
      <c r="V20" s="37">
        <f t="shared" si="5"/>
        <v>105615.2</v>
      </c>
      <c r="W20" s="36"/>
      <c r="X20" s="7"/>
      <c r="Y20" s="7"/>
      <c r="Z20" s="7"/>
      <c r="AA20" s="36"/>
      <c r="AB20" s="7"/>
      <c r="AC20" s="7"/>
      <c r="AD20" s="7"/>
      <c r="AE20" s="36"/>
      <c r="AF20" s="7"/>
      <c r="AG20" s="7"/>
      <c r="AH20" s="7"/>
      <c r="AI20" s="36"/>
      <c r="AJ20" s="35"/>
      <c r="AK20" s="36"/>
      <c r="AL20" s="37"/>
      <c r="AM20" s="36"/>
      <c r="AN20" s="35"/>
      <c r="AO20" s="36"/>
      <c r="AP20" s="37"/>
      <c r="AQ20" s="36"/>
      <c r="AR20" s="35">
        <v>275000</v>
      </c>
      <c r="AS20" s="36">
        <f>140359.38+129187.5</f>
        <v>269546.88</v>
      </c>
      <c r="AT20" s="37">
        <f t="shared" si="7"/>
        <v>544546.88</v>
      </c>
    </row>
    <row r="21" spans="2:46" x14ac:dyDescent="0.25">
      <c r="B21" s="9">
        <v>2024</v>
      </c>
      <c r="C21" s="29"/>
      <c r="D21" s="35">
        <f t="shared" si="0"/>
        <v>394000</v>
      </c>
      <c r="E21" s="36">
        <f t="shared" si="0"/>
        <v>258429.3</v>
      </c>
      <c r="F21" s="37">
        <f t="shared" si="9"/>
        <v>652429.30000000005</v>
      </c>
      <c r="G21" s="36"/>
      <c r="H21" s="7"/>
      <c r="I21" s="7"/>
      <c r="J21" s="7"/>
      <c r="K21" s="36"/>
      <c r="L21" s="7">
        <v>59000</v>
      </c>
      <c r="M21" s="7">
        <v>1038.4000000000001</v>
      </c>
      <c r="N21" s="7">
        <f t="shared" si="2"/>
        <v>60038.400000000001</v>
      </c>
      <c r="O21" s="36"/>
      <c r="P21" s="7">
        <v>35000</v>
      </c>
      <c r="Q21" s="7">
        <f>5601.7+5601.7</f>
        <v>11203.4</v>
      </c>
      <c r="R21" s="7">
        <f t="shared" si="3"/>
        <v>46203.4</v>
      </c>
      <c r="S21" s="36"/>
      <c r="T21" s="35">
        <f t="shared" si="4"/>
        <v>94000</v>
      </c>
      <c r="U21" s="36">
        <f t="shared" si="4"/>
        <v>12241.8</v>
      </c>
      <c r="V21" s="37">
        <f t="shared" si="5"/>
        <v>106241.8</v>
      </c>
      <c r="W21" s="36"/>
      <c r="X21" s="7"/>
      <c r="Y21" s="7"/>
      <c r="Z21" s="7"/>
      <c r="AA21" s="36"/>
      <c r="AB21" s="7"/>
      <c r="AC21" s="7"/>
      <c r="AD21" s="7"/>
      <c r="AE21" s="36"/>
      <c r="AF21" s="7"/>
      <c r="AG21" s="7"/>
      <c r="AH21" s="7"/>
      <c r="AI21" s="36"/>
      <c r="AJ21" s="35"/>
      <c r="AK21" s="36"/>
      <c r="AL21" s="37"/>
      <c r="AM21" s="36"/>
      <c r="AN21" s="35"/>
      <c r="AO21" s="36"/>
      <c r="AP21" s="37"/>
      <c r="AQ21" s="36"/>
      <c r="AR21" s="35">
        <v>300000</v>
      </c>
      <c r="AS21" s="36">
        <f>129187.5+117000</f>
        <v>246187.5</v>
      </c>
      <c r="AT21" s="37">
        <f t="shared" si="7"/>
        <v>546187.5</v>
      </c>
    </row>
    <row r="22" spans="2:46" x14ac:dyDescent="0.25">
      <c r="B22" s="9">
        <v>2025</v>
      </c>
      <c r="C22" s="29"/>
      <c r="D22" s="35">
        <f t="shared" si="0"/>
        <v>357000</v>
      </c>
      <c r="E22" s="36">
        <f t="shared" si="0"/>
        <v>230792.9</v>
      </c>
      <c r="F22" s="37">
        <f t="shared" si="9"/>
        <v>587792.9</v>
      </c>
      <c r="G22" s="36"/>
      <c r="H22" s="7"/>
      <c r="I22" s="7"/>
      <c r="J22" s="7"/>
      <c r="K22" s="36"/>
      <c r="L22" s="7"/>
      <c r="M22" s="7"/>
      <c r="N22" s="7"/>
      <c r="O22" s="36"/>
      <c r="P22" s="7">
        <v>37000</v>
      </c>
      <c r="Q22" s="7">
        <f>4896.45+4896.45</f>
        <v>9792.9</v>
      </c>
      <c r="R22" s="7">
        <f t="shared" si="3"/>
        <v>46792.9</v>
      </c>
      <c r="S22" s="36"/>
      <c r="T22" s="35">
        <f t="shared" si="4"/>
        <v>37000</v>
      </c>
      <c r="U22" s="36">
        <f t="shared" si="4"/>
        <v>9792.9</v>
      </c>
      <c r="V22" s="37">
        <f t="shared" si="5"/>
        <v>46792.9</v>
      </c>
      <c r="W22" s="36"/>
      <c r="X22" s="7"/>
      <c r="Y22" s="7"/>
      <c r="Z22" s="7"/>
      <c r="AA22" s="36"/>
      <c r="AB22" s="7"/>
      <c r="AC22" s="7"/>
      <c r="AD22" s="7"/>
      <c r="AE22" s="36"/>
      <c r="AF22" s="7"/>
      <c r="AG22" s="7"/>
      <c r="AH22" s="7"/>
      <c r="AI22" s="36"/>
      <c r="AJ22" s="35"/>
      <c r="AK22" s="36"/>
      <c r="AL22" s="37"/>
      <c r="AM22" s="36"/>
      <c r="AN22" s="35"/>
      <c r="AO22" s="36"/>
      <c r="AP22" s="37"/>
      <c r="AQ22" s="36"/>
      <c r="AR22" s="35">
        <v>320000</v>
      </c>
      <c r="AS22" s="36">
        <f>117000+104000</f>
        <v>221000</v>
      </c>
      <c r="AT22" s="37">
        <f t="shared" si="7"/>
        <v>541000</v>
      </c>
    </row>
    <row r="23" spans="2:46" x14ac:dyDescent="0.25">
      <c r="B23" s="9">
        <v>2026</v>
      </c>
      <c r="C23" s="29"/>
      <c r="D23" s="35">
        <f t="shared" si="0"/>
        <v>388000</v>
      </c>
      <c r="E23" s="36">
        <f t="shared" si="0"/>
        <v>202083.05</v>
      </c>
      <c r="F23" s="37">
        <f t="shared" si="9"/>
        <v>590083.05000000005</v>
      </c>
      <c r="G23" s="36"/>
      <c r="H23" s="7"/>
      <c r="I23" s="7"/>
      <c r="J23" s="7"/>
      <c r="K23" s="36"/>
      <c r="L23" s="7"/>
      <c r="M23" s="7"/>
      <c r="N23" s="7"/>
      <c r="O23" s="36"/>
      <c r="P23" s="7">
        <v>38000</v>
      </c>
      <c r="Q23" s="7">
        <f>4150.9+4150.9</f>
        <v>8301.7999999999993</v>
      </c>
      <c r="R23" s="7">
        <f t="shared" si="3"/>
        <v>46301.8</v>
      </c>
      <c r="S23" s="36"/>
      <c r="T23" s="35">
        <f t="shared" si="4"/>
        <v>38000</v>
      </c>
      <c r="U23" s="36">
        <f t="shared" si="4"/>
        <v>8301.7999999999993</v>
      </c>
      <c r="V23" s="37">
        <f t="shared" si="5"/>
        <v>46301.8</v>
      </c>
      <c r="W23" s="36"/>
      <c r="X23" s="7"/>
      <c r="Y23" s="7"/>
      <c r="Z23" s="7"/>
      <c r="AA23" s="36"/>
      <c r="AB23" s="7"/>
      <c r="AC23" s="7"/>
      <c r="AD23" s="7"/>
      <c r="AE23" s="36"/>
      <c r="AF23" s="7"/>
      <c r="AG23" s="7"/>
      <c r="AH23" s="7"/>
      <c r="AI23" s="36"/>
      <c r="AJ23" s="35"/>
      <c r="AK23" s="36"/>
      <c r="AL23" s="37"/>
      <c r="AM23" s="36"/>
      <c r="AN23" s="35"/>
      <c r="AO23" s="36"/>
      <c r="AP23" s="37"/>
      <c r="AQ23" s="36"/>
      <c r="AR23" s="35">
        <v>350000</v>
      </c>
      <c r="AS23" s="36">
        <f>104000+89781.25</f>
        <v>193781.25</v>
      </c>
      <c r="AT23" s="37">
        <f t="shared" si="7"/>
        <v>543781.25</v>
      </c>
    </row>
    <row r="24" spans="2:46" x14ac:dyDescent="0.25">
      <c r="B24" s="9">
        <v>2027</v>
      </c>
      <c r="C24" s="29"/>
      <c r="D24" s="35">
        <f t="shared" si="0"/>
        <v>415000</v>
      </c>
      <c r="E24" s="36">
        <f t="shared" si="0"/>
        <v>171098.53</v>
      </c>
      <c r="F24" s="37">
        <f t="shared" si="9"/>
        <v>586098.53</v>
      </c>
      <c r="G24" s="36"/>
      <c r="H24" s="7"/>
      <c r="I24" s="7"/>
      <c r="J24" s="7"/>
      <c r="K24" s="36"/>
      <c r="L24" s="7"/>
      <c r="M24" s="7"/>
      <c r="N24" s="7"/>
      <c r="O24" s="36"/>
      <c r="P24" s="7">
        <v>40000</v>
      </c>
      <c r="Q24" s="7">
        <f>3385.2+3385.2</f>
        <v>6770.4</v>
      </c>
      <c r="R24" s="7">
        <f t="shared" si="3"/>
        <v>46770.400000000001</v>
      </c>
      <c r="S24" s="36"/>
      <c r="T24" s="35">
        <f t="shared" si="4"/>
        <v>40000</v>
      </c>
      <c r="U24" s="36">
        <f t="shared" si="4"/>
        <v>6770.4</v>
      </c>
      <c r="V24" s="37">
        <f t="shared" si="5"/>
        <v>46770.400000000001</v>
      </c>
      <c r="W24" s="36"/>
      <c r="X24" s="7"/>
      <c r="Y24" s="7"/>
      <c r="Z24" s="7"/>
      <c r="AA24" s="36"/>
      <c r="AB24" s="7"/>
      <c r="AC24" s="7"/>
      <c r="AD24" s="7"/>
      <c r="AE24" s="36"/>
      <c r="AF24" s="7"/>
      <c r="AG24" s="7"/>
      <c r="AH24" s="7"/>
      <c r="AI24" s="36"/>
      <c r="AJ24" s="35"/>
      <c r="AK24" s="36"/>
      <c r="AL24" s="37"/>
      <c r="AM24" s="36"/>
      <c r="AN24" s="35"/>
      <c r="AO24" s="36"/>
      <c r="AP24" s="37"/>
      <c r="AQ24" s="36"/>
      <c r="AR24" s="35">
        <v>375000</v>
      </c>
      <c r="AS24" s="36">
        <f>89781.25+74546.88</f>
        <v>164328.13</v>
      </c>
      <c r="AT24" s="37">
        <f t="shared" si="7"/>
        <v>539328.13</v>
      </c>
    </row>
    <row r="25" spans="2:46" x14ac:dyDescent="0.25">
      <c r="B25" s="9">
        <v>2028</v>
      </c>
      <c r="C25" s="29"/>
      <c r="D25" s="35">
        <f t="shared" si="0"/>
        <v>446000</v>
      </c>
      <c r="E25" s="36">
        <f t="shared" si="0"/>
        <v>137799.03</v>
      </c>
      <c r="F25" s="37">
        <f t="shared" si="9"/>
        <v>583799.03</v>
      </c>
      <c r="G25" s="36"/>
      <c r="H25" s="7"/>
      <c r="I25" s="7"/>
      <c r="J25" s="7"/>
      <c r="K25" s="36"/>
      <c r="L25" s="7"/>
      <c r="M25" s="7"/>
      <c r="N25" s="7"/>
      <c r="O25" s="36"/>
      <c r="P25" s="7">
        <v>41000</v>
      </c>
      <c r="Q25" s="7">
        <f>2579.2+2579.2</f>
        <v>5158.3999999999996</v>
      </c>
      <c r="R25" s="7">
        <f t="shared" si="3"/>
        <v>46158.400000000001</v>
      </c>
      <c r="S25" s="36"/>
      <c r="T25" s="35">
        <f t="shared" si="4"/>
        <v>41000</v>
      </c>
      <c r="U25" s="36">
        <f t="shared" si="4"/>
        <v>5158.3999999999996</v>
      </c>
      <c r="V25" s="37">
        <f t="shared" si="5"/>
        <v>46158.400000000001</v>
      </c>
      <c r="W25" s="36"/>
      <c r="X25" s="7"/>
      <c r="Y25" s="7"/>
      <c r="Z25" s="7"/>
      <c r="AA25" s="36"/>
      <c r="AB25" s="7"/>
      <c r="AC25" s="7"/>
      <c r="AD25" s="7"/>
      <c r="AE25" s="36"/>
      <c r="AF25" s="7"/>
      <c r="AG25" s="7"/>
      <c r="AH25" s="7"/>
      <c r="AI25" s="36"/>
      <c r="AJ25" s="35"/>
      <c r="AK25" s="36"/>
      <c r="AL25" s="37"/>
      <c r="AM25" s="36"/>
      <c r="AN25" s="35"/>
      <c r="AO25" s="36"/>
      <c r="AP25" s="37"/>
      <c r="AQ25" s="36"/>
      <c r="AR25" s="35">
        <v>405000</v>
      </c>
      <c r="AS25" s="36">
        <f>74546.88+58093.75</f>
        <v>132640.63</v>
      </c>
      <c r="AT25" s="37">
        <f t="shared" si="7"/>
        <v>537640.63</v>
      </c>
    </row>
    <row r="26" spans="2:46" x14ac:dyDescent="0.25">
      <c r="B26" s="9">
        <v>2029</v>
      </c>
      <c r="C26" s="29"/>
      <c r="D26" s="35">
        <f t="shared" si="0"/>
        <v>483000</v>
      </c>
      <c r="E26" s="36">
        <f t="shared" si="0"/>
        <v>101818.6</v>
      </c>
      <c r="F26" s="37">
        <f t="shared" si="9"/>
        <v>584818.6</v>
      </c>
      <c r="G26" s="36"/>
      <c r="H26" s="7"/>
      <c r="I26" s="7"/>
      <c r="J26" s="7"/>
      <c r="K26" s="36"/>
      <c r="L26" s="7"/>
      <c r="M26" s="7"/>
      <c r="N26" s="7"/>
      <c r="O26" s="36"/>
      <c r="P26" s="7">
        <v>43000</v>
      </c>
      <c r="Q26" s="7">
        <f>1753.05+1753.05</f>
        <v>3506.1</v>
      </c>
      <c r="R26" s="7">
        <f t="shared" si="3"/>
        <v>46506.1</v>
      </c>
      <c r="S26" s="36"/>
      <c r="T26" s="35">
        <f t="shared" si="4"/>
        <v>43000</v>
      </c>
      <c r="U26" s="36">
        <f t="shared" si="4"/>
        <v>3506.1</v>
      </c>
      <c r="V26" s="37">
        <f t="shared" si="5"/>
        <v>46506.1</v>
      </c>
      <c r="W26" s="36"/>
      <c r="X26" s="7"/>
      <c r="Y26" s="7"/>
      <c r="Z26" s="7"/>
      <c r="AA26" s="36"/>
      <c r="AB26" s="7"/>
      <c r="AC26" s="7"/>
      <c r="AD26" s="7"/>
      <c r="AE26" s="36"/>
      <c r="AF26" s="7"/>
      <c r="AG26" s="7"/>
      <c r="AH26" s="7"/>
      <c r="AI26" s="36"/>
      <c r="AJ26" s="35"/>
      <c r="AK26" s="36"/>
      <c r="AL26" s="37"/>
      <c r="AM26" s="36"/>
      <c r="AN26" s="35"/>
      <c r="AO26" s="36"/>
      <c r="AP26" s="37"/>
      <c r="AQ26" s="36"/>
      <c r="AR26" s="35">
        <v>440000</v>
      </c>
      <c r="AS26" s="36">
        <f>58093.75+40218.75</f>
        <v>98312.5</v>
      </c>
      <c r="AT26" s="37">
        <f t="shared" si="7"/>
        <v>538312.5</v>
      </c>
    </row>
    <row r="27" spans="2:46" x14ac:dyDescent="0.25">
      <c r="B27" s="9">
        <v>2030</v>
      </c>
      <c r="C27" s="29"/>
      <c r="D27" s="35">
        <f t="shared" si="0"/>
        <v>519000</v>
      </c>
      <c r="E27" s="36">
        <f t="shared" si="0"/>
        <v>62913.83</v>
      </c>
      <c r="F27" s="37">
        <f t="shared" si="9"/>
        <v>581913.82999999996</v>
      </c>
      <c r="G27" s="36"/>
      <c r="H27" s="7"/>
      <c r="I27" s="7"/>
      <c r="J27" s="7"/>
      <c r="K27" s="36"/>
      <c r="L27" s="7"/>
      <c r="M27" s="7"/>
      <c r="N27" s="7"/>
      <c r="O27" s="36"/>
      <c r="P27" s="36">
        <v>44000</v>
      </c>
      <c r="Q27" s="36">
        <f>886.6+886.6</f>
        <v>1773.2</v>
      </c>
      <c r="R27" s="36">
        <f>SUM(P27:Q27)</f>
        <v>45773.2</v>
      </c>
      <c r="S27" s="36"/>
      <c r="T27" s="35">
        <f t="shared" si="4"/>
        <v>44000</v>
      </c>
      <c r="U27" s="36">
        <f t="shared" si="4"/>
        <v>1773.2</v>
      </c>
      <c r="V27" s="37">
        <f>SUM(T27:U27)</f>
        <v>45773.2</v>
      </c>
      <c r="W27" s="36"/>
      <c r="X27" s="7"/>
      <c r="Y27" s="7"/>
      <c r="Z27" s="7"/>
      <c r="AA27" s="36"/>
      <c r="AB27" s="7"/>
      <c r="AC27" s="7"/>
      <c r="AD27" s="7"/>
      <c r="AE27" s="36"/>
      <c r="AF27" s="7"/>
      <c r="AG27" s="7"/>
      <c r="AH27" s="7"/>
      <c r="AI27" s="36"/>
      <c r="AJ27" s="35"/>
      <c r="AK27" s="36"/>
      <c r="AL27" s="37"/>
      <c r="AM27" s="36"/>
      <c r="AN27" s="35"/>
      <c r="AO27" s="36"/>
      <c r="AP27" s="37"/>
      <c r="AQ27" s="36"/>
      <c r="AR27" s="35">
        <v>475000</v>
      </c>
      <c r="AS27" s="36">
        <f>40218.75+20921.88</f>
        <v>61140.630000000005</v>
      </c>
      <c r="AT27" s="37">
        <f t="shared" si="7"/>
        <v>536140.63</v>
      </c>
    </row>
    <row r="28" spans="2:46" x14ac:dyDescent="0.25">
      <c r="B28" s="9">
        <v>2031</v>
      </c>
      <c r="C28" s="29"/>
      <c r="D28" s="35">
        <f t="shared" si="0"/>
        <v>515000</v>
      </c>
      <c r="E28" s="36">
        <f t="shared" si="0"/>
        <v>20921.88</v>
      </c>
      <c r="F28" s="37">
        <f t="shared" si="9"/>
        <v>535921.88</v>
      </c>
      <c r="G28" s="36"/>
      <c r="H28" s="7"/>
      <c r="I28" s="7"/>
      <c r="J28" s="7"/>
      <c r="K28" s="36"/>
      <c r="L28" s="7"/>
      <c r="M28" s="7"/>
      <c r="N28" s="7"/>
      <c r="O28" s="36"/>
      <c r="P28" s="7"/>
      <c r="Q28" s="7"/>
      <c r="R28" s="7"/>
      <c r="S28" s="36"/>
      <c r="T28" s="35"/>
      <c r="U28" s="36"/>
      <c r="V28" s="37"/>
      <c r="W28" s="36"/>
      <c r="X28" s="7"/>
      <c r="Y28" s="7"/>
      <c r="Z28" s="7"/>
      <c r="AA28" s="36"/>
      <c r="AB28" s="7"/>
      <c r="AC28" s="7"/>
      <c r="AD28" s="7"/>
      <c r="AE28" s="36"/>
      <c r="AF28" s="7"/>
      <c r="AG28" s="7"/>
      <c r="AH28" s="7"/>
      <c r="AI28" s="36"/>
      <c r="AJ28" s="35"/>
      <c r="AK28" s="36"/>
      <c r="AL28" s="37"/>
      <c r="AM28" s="36"/>
      <c r="AN28" s="35"/>
      <c r="AO28" s="36"/>
      <c r="AP28" s="37"/>
      <c r="AQ28" s="36"/>
      <c r="AR28" s="35">
        <v>515000</v>
      </c>
      <c r="AS28" s="36">
        <v>20921.88</v>
      </c>
      <c r="AT28" s="37">
        <f t="shared" si="7"/>
        <v>535921.88</v>
      </c>
    </row>
    <row r="29" spans="2:46" x14ac:dyDescent="0.25">
      <c r="C29" s="29"/>
      <c r="D29" s="35"/>
      <c r="E29" s="36"/>
      <c r="F29" s="37"/>
      <c r="G29" s="36"/>
      <c r="H29" s="7"/>
      <c r="I29" s="7"/>
      <c r="J29" s="7"/>
      <c r="K29" s="36"/>
      <c r="L29" s="7"/>
      <c r="M29" s="7"/>
      <c r="N29" s="7"/>
      <c r="O29" s="36"/>
      <c r="P29" s="7"/>
      <c r="Q29" s="7"/>
      <c r="R29" s="7"/>
      <c r="S29" s="36"/>
      <c r="T29" s="35"/>
      <c r="U29" s="36"/>
      <c r="V29" s="37"/>
      <c r="W29" s="36"/>
      <c r="X29" s="7"/>
      <c r="Y29" s="7"/>
      <c r="Z29" s="7"/>
      <c r="AA29" s="36"/>
      <c r="AB29" s="7"/>
      <c r="AC29" s="7"/>
      <c r="AD29" s="7"/>
      <c r="AE29" s="36"/>
      <c r="AF29" s="7"/>
      <c r="AG29" s="7"/>
      <c r="AH29" s="7"/>
      <c r="AI29" s="36"/>
      <c r="AJ29" s="35"/>
      <c r="AK29" s="36"/>
      <c r="AL29" s="37"/>
      <c r="AM29" s="36"/>
      <c r="AN29" s="35"/>
      <c r="AO29" s="36"/>
      <c r="AP29" s="37"/>
      <c r="AQ29" s="36"/>
      <c r="AR29" s="35"/>
      <c r="AS29" s="36"/>
      <c r="AT29" s="37">
        <f>SUM(AR29:AS29)</f>
        <v>0</v>
      </c>
    </row>
    <row r="30" spans="2:46" x14ac:dyDescent="0.25">
      <c r="C30" s="29"/>
      <c r="D30" s="39">
        <f>T30+AJ30+AR30</f>
        <v>0</v>
      </c>
      <c r="E30" s="40">
        <f>U30+AK30+AS30</f>
        <v>0</v>
      </c>
      <c r="F30" s="41">
        <f>SUM(D30:E30)</f>
        <v>0</v>
      </c>
      <c r="G30" s="35"/>
      <c r="H30" s="40"/>
      <c r="I30" s="40"/>
      <c r="J30" s="40"/>
      <c r="K30" s="36"/>
      <c r="L30" s="40"/>
      <c r="M30" s="40"/>
      <c r="N30" s="40"/>
      <c r="O30" s="36"/>
      <c r="P30" s="40"/>
      <c r="Q30" s="40"/>
      <c r="R30" s="40"/>
      <c r="S30" s="36"/>
      <c r="T30" s="39"/>
      <c r="U30" s="40"/>
      <c r="V30" s="41"/>
      <c r="W30" s="36"/>
      <c r="X30" s="40"/>
      <c r="Y30" s="40"/>
      <c r="Z30" s="40"/>
      <c r="AA30" s="36"/>
      <c r="AB30" s="40"/>
      <c r="AC30" s="40"/>
      <c r="AD30" s="40"/>
      <c r="AE30" s="36"/>
      <c r="AF30" s="40"/>
      <c r="AG30" s="40"/>
      <c r="AH30" s="40"/>
      <c r="AI30" s="36"/>
      <c r="AJ30" s="39"/>
      <c r="AK30" s="40"/>
      <c r="AL30" s="41"/>
      <c r="AM30" s="42"/>
      <c r="AN30" s="39"/>
      <c r="AO30" s="40"/>
      <c r="AP30" s="41"/>
      <c r="AQ30" s="42"/>
      <c r="AR30" s="39"/>
      <c r="AS30" s="40"/>
      <c r="AT30" s="41"/>
    </row>
    <row r="31" spans="2:46" x14ac:dyDescent="0.25">
      <c r="B31" s="9" t="s">
        <v>125</v>
      </c>
      <c r="C31" s="29"/>
      <c r="D31" s="35">
        <f>SUM(D9:D30)</f>
        <v>7682576.0899999999</v>
      </c>
      <c r="E31" s="36">
        <f>SUM(E9:E30)</f>
        <v>5912440.3400000008</v>
      </c>
      <c r="F31" s="37">
        <f>SUM(F9:F30)</f>
        <v>13595016.430000002</v>
      </c>
      <c r="G31" s="36"/>
      <c r="H31" s="7">
        <f>SUM(H9:H30)</f>
        <v>1072600</v>
      </c>
      <c r="I31" s="7">
        <f>SUM(I9:I30)</f>
        <v>52253.79</v>
      </c>
      <c r="J31" s="7">
        <f>SUM(J9:J30)</f>
        <v>1124853.79</v>
      </c>
      <c r="K31" s="36"/>
      <c r="L31" s="7">
        <f>SUM(L9:L30)</f>
        <v>689000</v>
      </c>
      <c r="M31" s="7">
        <f>SUM(M9:M30)</f>
        <v>87894.400000000009</v>
      </c>
      <c r="N31" s="7">
        <f>SUM(N9:N30)</f>
        <v>776894.4</v>
      </c>
      <c r="O31" s="36"/>
      <c r="P31" s="7">
        <f>SUM(P9:P30)</f>
        <v>598000</v>
      </c>
      <c r="Q31" s="7">
        <f>SUM(Q9:Q30)</f>
        <v>282143.60000000003</v>
      </c>
      <c r="R31" s="7">
        <f>SUM(R9:R30)</f>
        <v>880143.60000000009</v>
      </c>
      <c r="S31" s="36"/>
      <c r="T31" s="35">
        <f>SUM(T9:T30)</f>
        <v>2359600</v>
      </c>
      <c r="U31" s="36">
        <f>SUM(U9:U30)</f>
        <v>422291.7900000001</v>
      </c>
      <c r="V31" s="37">
        <f>SUM(V9:V30)</f>
        <v>2781891.7899999996</v>
      </c>
      <c r="W31" s="36"/>
      <c r="X31" s="7">
        <f>SUM(X9:X30)</f>
        <v>32976.089999999997</v>
      </c>
      <c r="Y31" s="7">
        <f>SUM(Y9:Y30)</f>
        <v>4148.4800000000005</v>
      </c>
      <c r="Z31" s="7">
        <f>SUM(Z9:Z30)</f>
        <v>37124.57</v>
      </c>
      <c r="AA31" s="36"/>
      <c r="AB31" s="7">
        <f>SUM(AB9:AB30)</f>
        <v>0</v>
      </c>
      <c r="AC31" s="7">
        <f>SUM(AC9:AC30)</f>
        <v>0</v>
      </c>
      <c r="AD31" s="7">
        <f>SUM(AD9:AD30)</f>
        <v>0</v>
      </c>
      <c r="AE31" s="36"/>
      <c r="AF31" s="7">
        <f>SUM(AF9:AF30)</f>
        <v>0</v>
      </c>
      <c r="AG31" s="7">
        <f>SUM(AG9:AG30)</f>
        <v>0</v>
      </c>
      <c r="AH31" s="7">
        <f>SUM(AH9:AH30)</f>
        <v>0</v>
      </c>
      <c r="AI31" s="36"/>
      <c r="AJ31" s="35">
        <f>SUM(AJ9:AJ30)</f>
        <v>32976.089999999997</v>
      </c>
      <c r="AK31" s="36">
        <f>SUM(AK9:AK30)</f>
        <v>4148.4800000000005</v>
      </c>
      <c r="AL31" s="37">
        <f>SUM(AL9:AL30)</f>
        <v>37124.57</v>
      </c>
      <c r="AM31" s="36"/>
      <c r="AN31" s="35">
        <f>SUM(AN9:AN30)</f>
        <v>0</v>
      </c>
      <c r="AO31" s="36">
        <f>SUM(AO9:AO30)</f>
        <v>0</v>
      </c>
      <c r="AP31" s="37">
        <f>SUM(AP9:AP30)</f>
        <v>0</v>
      </c>
      <c r="AQ31" s="36"/>
      <c r="AR31" s="35">
        <f>SUM(AR9:AR30)</f>
        <v>5290000</v>
      </c>
      <c r="AS31" s="36">
        <f>SUM(AS9:AS30)</f>
        <v>5486000.0699999984</v>
      </c>
      <c r="AT31" s="37">
        <f>SUM(AT9:AT30)</f>
        <v>10776000.070000002</v>
      </c>
    </row>
    <row r="32" spans="2:46" s="8" customFormat="1" ht="12.75" x14ac:dyDescent="0.2">
      <c r="B32" s="8" t="s">
        <v>126</v>
      </c>
      <c r="C32" s="43"/>
      <c r="D32" s="44">
        <f>-D9</f>
        <v>-199288.03</v>
      </c>
      <c r="E32" s="45">
        <f>-E9</f>
        <v>-481209.58</v>
      </c>
      <c r="F32" s="46">
        <f>-F9</f>
        <v>-680497.61</v>
      </c>
      <c r="G32" s="45"/>
      <c r="H32" s="45">
        <f>-H9</f>
        <v>-124200</v>
      </c>
      <c r="I32" s="45">
        <f>-I9</f>
        <v>-12631.25</v>
      </c>
      <c r="J32" s="45">
        <f>-J9</f>
        <v>-136831.25</v>
      </c>
      <c r="K32" s="45"/>
      <c r="L32" s="45">
        <f>-L9</f>
        <v>-48000</v>
      </c>
      <c r="M32" s="45">
        <f>-M9</f>
        <v>-12126.4</v>
      </c>
      <c r="N32" s="45">
        <f>-N9</f>
        <v>-60126.400000000001</v>
      </c>
      <c r="O32" s="45"/>
      <c r="P32" s="45">
        <f>-P9</f>
        <v>-21000</v>
      </c>
      <c r="Q32" s="45">
        <f>-Q9</f>
        <v>-25176.7</v>
      </c>
      <c r="R32" s="45">
        <f>-R9</f>
        <v>-46176.7</v>
      </c>
      <c r="S32" s="45"/>
      <c r="T32" s="47">
        <f>-T9</f>
        <v>-193200</v>
      </c>
      <c r="U32" s="45">
        <f>-U9</f>
        <v>-49934.350000000006</v>
      </c>
      <c r="V32" s="46">
        <f>-V9</f>
        <v>-243134.35</v>
      </c>
      <c r="W32" s="45"/>
      <c r="X32" s="45">
        <f>-X9</f>
        <v>-6088.03</v>
      </c>
      <c r="Y32" s="45">
        <f>-Y9</f>
        <v>-1462.73</v>
      </c>
      <c r="Z32" s="45">
        <f>-Z9</f>
        <v>-7550.76</v>
      </c>
      <c r="AA32" s="45"/>
      <c r="AB32" s="45">
        <f>-AB9</f>
        <v>0</v>
      </c>
      <c r="AC32" s="45">
        <f>-AC9</f>
        <v>0</v>
      </c>
      <c r="AD32" s="45">
        <f>-AD9</f>
        <v>0</v>
      </c>
      <c r="AE32" s="45"/>
      <c r="AF32" s="45">
        <f>-AF9</f>
        <v>0</v>
      </c>
      <c r="AG32" s="45">
        <f>-AG9</f>
        <v>0</v>
      </c>
      <c r="AH32" s="45">
        <f>-AH9</f>
        <v>0</v>
      </c>
      <c r="AI32" s="45"/>
      <c r="AJ32" s="47">
        <f>-AJ9</f>
        <v>-6088.03</v>
      </c>
      <c r="AK32" s="45">
        <f>-AK9</f>
        <v>-1462.73</v>
      </c>
      <c r="AL32" s="46">
        <f>-AL9</f>
        <v>-7550.76</v>
      </c>
      <c r="AM32" s="45"/>
      <c r="AN32" s="47">
        <f>-AN9</f>
        <v>0</v>
      </c>
      <c r="AO32" s="45">
        <f>-AO9</f>
        <v>0</v>
      </c>
      <c r="AP32" s="48">
        <f>-AP9</f>
        <v>0</v>
      </c>
      <c r="AQ32" s="45"/>
      <c r="AR32" s="47">
        <f>-AR9</f>
        <v>0</v>
      </c>
      <c r="AS32" s="45">
        <f>-AS9</f>
        <v>-429812.5</v>
      </c>
      <c r="AT32" s="48">
        <f>-AT9</f>
        <v>-429812.5</v>
      </c>
    </row>
    <row r="33" spans="2:57" x14ac:dyDescent="0.25">
      <c r="B33" s="9" t="s">
        <v>127</v>
      </c>
      <c r="C33" s="29"/>
      <c r="D33" s="49">
        <f>SUM(D31:D32)</f>
        <v>7483288.0599999996</v>
      </c>
      <c r="E33" s="50">
        <f>SUM(E31:E32)</f>
        <v>5431230.7600000007</v>
      </c>
      <c r="F33" s="51">
        <f>SUM(F31:F32)</f>
        <v>12914518.820000002</v>
      </c>
      <c r="G33" s="36"/>
      <c r="H33" s="50">
        <f>SUM(H31:H32)</f>
        <v>948400</v>
      </c>
      <c r="I33" s="50">
        <f>SUM(I31:I32)</f>
        <v>39622.54</v>
      </c>
      <c r="J33" s="50">
        <f>SUM(J31:J32)</f>
        <v>988022.54</v>
      </c>
      <c r="K33" s="36"/>
      <c r="L33" s="50">
        <f>SUM(L31:L32)</f>
        <v>641000</v>
      </c>
      <c r="M33" s="50">
        <f>SUM(M31:M32)</f>
        <v>75768.000000000015</v>
      </c>
      <c r="N33" s="50">
        <f>SUM(N31:N32)</f>
        <v>716768</v>
      </c>
      <c r="O33" s="36"/>
      <c r="P33" s="50">
        <f>SUM(P31:P32)</f>
        <v>577000</v>
      </c>
      <c r="Q33" s="50">
        <f>SUM(Q31:Q32)</f>
        <v>256966.90000000002</v>
      </c>
      <c r="R33" s="50">
        <f>SUM(R31:R32)</f>
        <v>833966.90000000014</v>
      </c>
      <c r="S33" s="36"/>
      <c r="T33" s="49">
        <f>SUM(T31:T32)</f>
        <v>2166400</v>
      </c>
      <c r="U33" s="50">
        <f>SUM(U31:U32)</f>
        <v>372357.44000000006</v>
      </c>
      <c r="V33" s="51">
        <f>SUM(V31:V32)</f>
        <v>2538757.4399999995</v>
      </c>
      <c r="W33" s="36"/>
      <c r="X33" s="50">
        <f>SUM(X31:X32)</f>
        <v>26888.059999999998</v>
      </c>
      <c r="Y33" s="50">
        <f>SUM(Y31:Y32)</f>
        <v>2685.7500000000005</v>
      </c>
      <c r="Z33" s="50">
        <f>SUM(Z31:Z32)</f>
        <v>29573.809999999998</v>
      </c>
      <c r="AA33" s="36"/>
      <c r="AB33" s="50">
        <f>SUM(AB31:AB32)</f>
        <v>0</v>
      </c>
      <c r="AC33" s="50">
        <f>SUM(AC31:AC32)</f>
        <v>0</v>
      </c>
      <c r="AD33" s="50">
        <f>SUM(AD31:AD32)</f>
        <v>0</v>
      </c>
      <c r="AE33" s="36"/>
      <c r="AF33" s="50">
        <f>SUM(AF31:AF32)</f>
        <v>0</v>
      </c>
      <c r="AG33" s="50">
        <f>SUM(AG31:AG32)</f>
        <v>0</v>
      </c>
      <c r="AH33" s="50">
        <f>SUM(AH31:AH32)</f>
        <v>0</v>
      </c>
      <c r="AI33" s="36"/>
      <c r="AJ33" s="49">
        <f>SUM(AJ31:AJ32)</f>
        <v>26888.059999999998</v>
      </c>
      <c r="AK33" s="50">
        <f>SUM(AK31:AK32)</f>
        <v>2685.7500000000005</v>
      </c>
      <c r="AL33" s="51">
        <f>SUM(AL31:AL32)</f>
        <v>29573.809999999998</v>
      </c>
      <c r="AM33" s="36"/>
      <c r="AN33" s="49">
        <f>SUM(AN31:AN32)</f>
        <v>0</v>
      </c>
      <c r="AO33" s="50">
        <f>SUM(AO31:AO32)</f>
        <v>0</v>
      </c>
      <c r="AP33" s="51">
        <f>SUM(AP31:AP32)</f>
        <v>0</v>
      </c>
      <c r="AQ33" s="36"/>
      <c r="AR33" s="49">
        <f>SUM(AR31:AR32)</f>
        <v>5290000</v>
      </c>
      <c r="AS33" s="50">
        <f>SUM(AS31:AS32)</f>
        <v>5056187.5699999984</v>
      </c>
      <c r="AT33" s="51">
        <f>SUM(AT31:AT32)</f>
        <v>10346187.570000002</v>
      </c>
    </row>
    <row r="34" spans="2:57" x14ac:dyDescent="0.25">
      <c r="B34" s="9" t="s">
        <v>128</v>
      </c>
      <c r="C34" s="29"/>
      <c r="D34" s="35">
        <f>-D10</f>
        <v>-332088.73</v>
      </c>
      <c r="E34" s="36">
        <f>-E10</f>
        <v>-472735.54000000004</v>
      </c>
      <c r="F34" s="37">
        <f>-F10</f>
        <v>-804824.27</v>
      </c>
      <c r="G34" s="36"/>
      <c r="H34" s="36">
        <f>-H10</f>
        <v>-130700</v>
      </c>
      <c r="I34" s="36">
        <f>-I10</f>
        <v>-11038.130000000001</v>
      </c>
      <c r="J34" s="36">
        <f>-J10</f>
        <v>-141738.13</v>
      </c>
      <c r="K34" s="36"/>
      <c r="L34" s="36">
        <f>-L10</f>
        <v>-48000</v>
      </c>
      <c r="M34" s="36">
        <f>-M10</f>
        <v>-11281.6</v>
      </c>
      <c r="N34" s="36">
        <f>-N10</f>
        <v>-59281.599999999999</v>
      </c>
      <c r="O34" s="36"/>
      <c r="P34" s="36">
        <f>-P10</f>
        <v>-22000</v>
      </c>
      <c r="Q34" s="36">
        <f>-Q10</f>
        <v>-24519.4</v>
      </c>
      <c r="R34" s="36">
        <f>-R10</f>
        <v>-46519.4</v>
      </c>
      <c r="S34" s="36"/>
      <c r="T34" s="35">
        <f>-T10</f>
        <v>-200700</v>
      </c>
      <c r="U34" s="36">
        <f>-U10</f>
        <v>-46839.130000000005</v>
      </c>
      <c r="V34" s="37">
        <f>-V10</f>
        <v>-247539.13</v>
      </c>
      <c r="W34" s="36"/>
      <c r="X34" s="36">
        <f>-X10</f>
        <v>-6388.73</v>
      </c>
      <c r="Y34" s="36">
        <f>-Y10</f>
        <v>-1162.03</v>
      </c>
      <c r="Z34" s="36">
        <f>-Z10</f>
        <v>-7550.7599999999993</v>
      </c>
      <c r="AA34" s="36"/>
      <c r="AB34" s="36">
        <f>-AB10</f>
        <v>0</v>
      </c>
      <c r="AC34" s="36">
        <f>-AC10</f>
        <v>0</v>
      </c>
      <c r="AD34" s="36">
        <f>-AD10</f>
        <v>0</v>
      </c>
      <c r="AE34" s="36"/>
      <c r="AF34" s="36">
        <f>-AF10</f>
        <v>0</v>
      </c>
      <c r="AG34" s="36">
        <f>-AG10</f>
        <v>0</v>
      </c>
      <c r="AH34" s="36">
        <f>-AH10</f>
        <v>0</v>
      </c>
      <c r="AI34" s="36"/>
      <c r="AJ34" s="35">
        <f>-AJ10</f>
        <v>-6388.73</v>
      </c>
      <c r="AK34" s="36">
        <f>-AK10</f>
        <v>-1162.03</v>
      </c>
      <c r="AL34" s="37">
        <f>-AL10</f>
        <v>-7550.7599999999993</v>
      </c>
      <c r="AM34" s="36"/>
      <c r="AN34" s="35">
        <f>-AN10</f>
        <v>0</v>
      </c>
      <c r="AO34" s="36">
        <f>-AO10</f>
        <v>0</v>
      </c>
      <c r="AP34" s="37">
        <f>-AP10</f>
        <v>0</v>
      </c>
      <c r="AQ34" s="36"/>
      <c r="AR34" s="35">
        <f>-AR10</f>
        <v>-125000</v>
      </c>
      <c r="AS34" s="36">
        <f>-AS10</f>
        <v>-424734.38</v>
      </c>
      <c r="AT34" s="37">
        <f>-AT10</f>
        <v>-549734.38</v>
      </c>
    </row>
    <row r="35" spans="2:57" ht="15.75" thickBot="1" x14ac:dyDescent="0.3">
      <c r="B35" s="9" t="s">
        <v>129</v>
      </c>
      <c r="D35" s="52">
        <f>SUM(D33:D34)</f>
        <v>7151199.3300000001</v>
      </c>
      <c r="E35" s="53">
        <f>SUM(E33:E34)</f>
        <v>4958495.2200000007</v>
      </c>
      <c r="F35" s="54">
        <f>SUM(F33:F34)</f>
        <v>12109694.550000003</v>
      </c>
      <c r="G35" s="7"/>
      <c r="H35" s="53">
        <f>SUM(H33:H34)</f>
        <v>817700</v>
      </c>
      <c r="I35" s="53">
        <f>SUM(I33:I34)</f>
        <v>28584.41</v>
      </c>
      <c r="J35" s="53">
        <f>SUM(J33:J34)</f>
        <v>846284.41</v>
      </c>
      <c r="K35" s="36"/>
      <c r="L35" s="53">
        <f>SUM(L33:L34)</f>
        <v>593000</v>
      </c>
      <c r="M35" s="53">
        <f>SUM(M33:M34)</f>
        <v>64486.400000000016</v>
      </c>
      <c r="N35" s="53">
        <f>SUM(N33:N34)</f>
        <v>657486.4</v>
      </c>
      <c r="O35" s="36"/>
      <c r="P35" s="53">
        <f>SUM(P33:P34)</f>
        <v>555000</v>
      </c>
      <c r="Q35" s="53">
        <f>SUM(Q33:Q34)</f>
        <v>232447.50000000003</v>
      </c>
      <c r="R35" s="53">
        <f>SUM(R33:R34)</f>
        <v>787447.50000000012</v>
      </c>
      <c r="S35" s="36"/>
      <c r="T35" s="52">
        <f>SUM(T33:T34)</f>
        <v>1965700</v>
      </c>
      <c r="U35" s="53">
        <f>SUM(U33:U34)</f>
        <v>325518.31000000006</v>
      </c>
      <c r="V35" s="54">
        <f>SUM(V33:V34)</f>
        <v>2291218.3099999996</v>
      </c>
      <c r="W35" s="36"/>
      <c r="X35" s="53">
        <f>SUM(X33:X34)</f>
        <v>20499.329999999998</v>
      </c>
      <c r="Y35" s="53">
        <f>SUM(Y33:Y34)</f>
        <v>1523.7200000000005</v>
      </c>
      <c r="Z35" s="53">
        <f>SUM(Z33:Z34)</f>
        <v>22023.05</v>
      </c>
      <c r="AA35" s="36"/>
      <c r="AB35" s="53">
        <f>SUM(AB33:AB34)</f>
        <v>0</v>
      </c>
      <c r="AC35" s="53">
        <f>SUM(AC33:AC34)</f>
        <v>0</v>
      </c>
      <c r="AD35" s="53">
        <f>SUM(AD33:AD34)</f>
        <v>0</v>
      </c>
      <c r="AE35" s="7"/>
      <c r="AF35" s="53">
        <f>SUM(AF33:AF34)</f>
        <v>0</v>
      </c>
      <c r="AG35" s="53">
        <f>SUM(AG33:AG34)</f>
        <v>0</v>
      </c>
      <c r="AH35" s="53">
        <f>SUM(AH33:AH34)</f>
        <v>0</v>
      </c>
      <c r="AI35" s="7"/>
      <c r="AJ35" s="52">
        <f>SUM(AJ33:AJ34)</f>
        <v>20499.329999999998</v>
      </c>
      <c r="AK35" s="53">
        <f>SUM(AK33:AK34)</f>
        <v>1523.7200000000005</v>
      </c>
      <c r="AL35" s="54">
        <f>SUM(AL33:AL34)</f>
        <v>22023.05</v>
      </c>
      <c r="AM35" s="7"/>
      <c r="AN35" s="52">
        <f>SUM(AN33:AN34)</f>
        <v>0</v>
      </c>
      <c r="AO35" s="53">
        <f>SUM(AO33:AO34)</f>
        <v>0</v>
      </c>
      <c r="AP35" s="54">
        <f>SUM(AP33:AP34)</f>
        <v>0</v>
      </c>
      <c r="AQ35" s="7"/>
      <c r="AR35" s="52">
        <f>SUM(AR33:AR34)</f>
        <v>5165000</v>
      </c>
      <c r="AS35" s="53">
        <f>SUM(AS33:AS34)</f>
        <v>4631453.1899999985</v>
      </c>
      <c r="AT35" s="54">
        <f>SUM(AT33:AT34)</f>
        <v>9796453.1900000013</v>
      </c>
    </row>
    <row r="36" spans="2:57" ht="15.75" thickTop="1" x14ac:dyDescent="0.25">
      <c r="D36" s="55" t="s">
        <v>130</v>
      </c>
      <c r="H36" s="55" t="s">
        <v>131</v>
      </c>
      <c r="L36" s="55" t="s">
        <v>132</v>
      </c>
      <c r="P36" s="55" t="s">
        <v>133</v>
      </c>
      <c r="T36" s="10"/>
      <c r="U36" s="10"/>
      <c r="V36" s="10"/>
      <c r="X36" s="55" t="s">
        <v>134</v>
      </c>
      <c r="AA36" s="10"/>
      <c r="AB36" s="55" t="s">
        <v>135</v>
      </c>
      <c r="AC36" s="56"/>
      <c r="AD36" s="56"/>
      <c r="AF36" s="55" t="s">
        <v>136</v>
      </c>
      <c r="AG36" s="56"/>
      <c r="AH36" s="56"/>
      <c r="AO36" s="57"/>
      <c r="AP36" s="57"/>
      <c r="AR36" s="55" t="s">
        <v>137</v>
      </c>
      <c r="AS36" s="57"/>
      <c r="AT36" s="57"/>
      <c r="AU36" s="57"/>
      <c r="AV36" s="57"/>
      <c r="AW36" s="57"/>
      <c r="AX36" s="10"/>
    </row>
    <row r="37" spans="2:57" x14ac:dyDescent="0.25">
      <c r="W37" s="58"/>
      <c r="X37" s="58"/>
      <c r="Z37" s="58"/>
      <c r="AB37" s="58"/>
      <c r="AD37" s="58"/>
      <c r="AF37" s="58"/>
      <c r="AH37" s="58"/>
      <c r="AK37" s="59"/>
      <c r="AL37" s="59"/>
      <c r="AM37" s="59"/>
      <c r="AN37" s="59"/>
      <c r="AO37" s="59"/>
      <c r="AP37" s="59"/>
      <c r="AQ37" s="59"/>
      <c r="AV37" s="10"/>
      <c r="AW37" s="59"/>
      <c r="AX37" s="59"/>
      <c r="AZ37" s="10"/>
      <c r="BC37" s="58"/>
      <c r="BD37" s="58"/>
      <c r="BE37" s="58"/>
    </row>
    <row r="38" spans="2:57" x14ac:dyDescent="0.25">
      <c r="K38" s="9"/>
      <c r="O38" s="9"/>
      <c r="S38" s="9"/>
      <c r="W38" s="58"/>
      <c r="X38" s="58"/>
      <c r="Z38" s="58"/>
      <c r="AB38" s="58"/>
      <c r="AD38" s="58"/>
      <c r="AF38" s="58"/>
      <c r="AH38" s="58"/>
      <c r="AK38" s="59"/>
      <c r="AL38" s="59"/>
      <c r="AM38" s="59"/>
      <c r="AN38" s="59"/>
      <c r="AO38" s="59"/>
      <c r="AP38" s="59"/>
      <c r="AQ38" s="59"/>
      <c r="AV38" s="10"/>
      <c r="AW38" s="59"/>
      <c r="AX38" s="59"/>
      <c r="AZ38" s="10"/>
      <c r="BC38" s="58"/>
      <c r="BD38" s="58"/>
      <c r="BE38" s="58"/>
    </row>
    <row r="39" spans="2:57" x14ac:dyDescent="0.25">
      <c r="K39" s="9"/>
      <c r="O39" s="9"/>
      <c r="S39" s="9"/>
      <c r="W39" s="9"/>
      <c r="AU39" s="10"/>
      <c r="AY39" s="10"/>
    </row>
  </sheetData>
  <mergeCells count="8">
    <mergeCell ref="AN5:AP5"/>
    <mergeCell ref="AR5:AT5"/>
    <mergeCell ref="D6:F6"/>
    <mergeCell ref="T6:V6"/>
    <mergeCell ref="AJ6:AL6"/>
    <mergeCell ref="X5:Z5"/>
    <mergeCell ref="AB5:AD5"/>
    <mergeCell ref="AF5:AH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workbookViewId="0">
      <selection activeCell="M13" sqref="M13"/>
    </sheetView>
  </sheetViews>
  <sheetFormatPr defaultRowHeight="15" x14ac:dyDescent="0.25"/>
  <cols>
    <col min="1" max="1" width="12.85546875" customWidth="1"/>
    <col min="2" max="2" width="16" bestFit="1" customWidth="1"/>
    <col min="3" max="3" width="17.85546875" bestFit="1" customWidth="1"/>
    <col min="4" max="8" width="16" bestFit="1" customWidth="1"/>
    <col min="9" max="9" width="16.140625" customWidth="1"/>
    <col min="10" max="10" width="16" bestFit="1" customWidth="1"/>
    <col min="11" max="11" width="12.5703125" bestFit="1" customWidth="1"/>
  </cols>
  <sheetData>
    <row r="1" spans="1:10" ht="15.75" thickTop="1" x14ac:dyDescent="0.25">
      <c r="A1" s="99"/>
      <c r="B1" s="97">
        <v>2009</v>
      </c>
      <c r="C1" s="97">
        <v>2010</v>
      </c>
      <c r="D1" s="97">
        <v>2011</v>
      </c>
      <c r="E1" s="97">
        <v>2012</v>
      </c>
      <c r="F1" s="97">
        <v>2013</v>
      </c>
      <c r="G1" s="97">
        <v>2014</v>
      </c>
      <c r="H1" s="98">
        <v>2015</v>
      </c>
      <c r="I1" s="98">
        <v>2016</v>
      </c>
      <c r="J1" s="118">
        <v>2017</v>
      </c>
    </row>
    <row r="2" spans="1:10" x14ac:dyDescent="0.25">
      <c r="A2" s="99" t="s">
        <v>166</v>
      </c>
      <c r="B2" s="103">
        <f>14765.71+2262.15</f>
        <v>17027.86</v>
      </c>
      <c r="C2" s="103">
        <f>16657.72+202.5</f>
        <v>16860.22</v>
      </c>
      <c r="D2" s="103">
        <f>10303.09+918.57</f>
        <v>11221.66</v>
      </c>
      <c r="E2" s="103">
        <f>12140.66+5242.96</f>
        <v>17383.62</v>
      </c>
      <c r="F2" s="103">
        <v>17367.240000000002</v>
      </c>
      <c r="G2" s="103">
        <f>13501.24+1369.34</f>
        <v>14870.58</v>
      </c>
      <c r="H2" s="104">
        <v>10080</v>
      </c>
      <c r="I2" s="104">
        <v>9588</v>
      </c>
      <c r="J2" s="177"/>
    </row>
    <row r="3" spans="1:10" x14ac:dyDescent="0.25">
      <c r="A3" s="99" t="s">
        <v>167</v>
      </c>
      <c r="B3" s="103">
        <f>228.27+6489.42</f>
        <v>6717.6900000000005</v>
      </c>
      <c r="C3" s="103">
        <f>202.5+3766.46</f>
        <v>3968.96</v>
      </c>
      <c r="D3" s="103">
        <v>1304.4000000000001</v>
      </c>
      <c r="E3" s="103">
        <v>3227.58</v>
      </c>
      <c r="F3" s="103">
        <v>2654.99</v>
      </c>
      <c r="G3" s="103">
        <f>5799.38+315.12</f>
        <v>6114.5</v>
      </c>
      <c r="H3" s="104">
        <v>3419.37</v>
      </c>
      <c r="I3" s="104">
        <f>167.22+8528.24</f>
        <v>8695.4599999999991</v>
      </c>
      <c r="J3" s="177"/>
    </row>
    <row r="4" spans="1:10" x14ac:dyDescent="0.25">
      <c r="A4" s="99" t="s">
        <v>168</v>
      </c>
      <c r="B4" s="103">
        <v>459</v>
      </c>
      <c r="C4" s="103"/>
      <c r="D4" s="103">
        <v>121.5</v>
      </c>
      <c r="E4" s="103">
        <v>60</v>
      </c>
      <c r="F4" s="103"/>
      <c r="G4" s="103"/>
      <c r="H4" s="104"/>
      <c r="I4" s="104"/>
      <c r="J4" s="177"/>
    </row>
    <row r="5" spans="1:10" x14ac:dyDescent="0.25">
      <c r="A5" s="99" t="s">
        <v>169</v>
      </c>
      <c r="B5" s="103">
        <f>642.61+6646.23</f>
        <v>7288.8399999999992</v>
      </c>
      <c r="C5" s="103">
        <f>5662.38+89.33</f>
        <v>5751.71</v>
      </c>
      <c r="D5" s="103">
        <v>625.28</v>
      </c>
      <c r="E5" s="103">
        <v>2249.34</v>
      </c>
      <c r="F5" s="103"/>
      <c r="G5" s="103"/>
      <c r="H5" s="104"/>
      <c r="I5" s="104"/>
      <c r="J5" s="177"/>
    </row>
    <row r="6" spans="1:10" x14ac:dyDescent="0.25">
      <c r="A6" s="99" t="s">
        <v>164</v>
      </c>
      <c r="B6" s="103"/>
      <c r="C6" s="103"/>
      <c r="D6" s="103"/>
      <c r="E6" s="103"/>
      <c r="F6" s="103"/>
      <c r="G6" s="103"/>
      <c r="H6" s="104">
        <v>842.37</v>
      </c>
      <c r="I6" s="104">
        <v>687.31</v>
      </c>
      <c r="J6" s="177"/>
    </row>
    <row r="7" spans="1:10" x14ac:dyDescent="0.25">
      <c r="A7" s="99" t="s">
        <v>170</v>
      </c>
      <c r="B7" s="103"/>
      <c r="C7" s="103"/>
      <c r="D7" s="103"/>
      <c r="E7" s="103">
        <v>30.09</v>
      </c>
      <c r="F7" s="103"/>
      <c r="G7" s="103"/>
      <c r="H7" s="104"/>
      <c r="I7" s="104"/>
      <c r="J7" s="177"/>
    </row>
    <row r="8" spans="1:10" x14ac:dyDescent="0.25">
      <c r="A8" s="101" t="s">
        <v>171</v>
      </c>
      <c r="B8" s="105"/>
      <c r="C8" s="105"/>
      <c r="D8" s="105"/>
      <c r="E8" s="105"/>
      <c r="F8" s="105"/>
      <c r="G8" s="105"/>
      <c r="H8" s="106"/>
      <c r="I8" s="106">
        <v>135</v>
      </c>
      <c r="J8" s="177"/>
    </row>
    <row r="9" spans="1:10" ht="15.75" thickBot="1" x14ac:dyDescent="0.3">
      <c r="A9" s="102" t="s">
        <v>163</v>
      </c>
      <c r="B9" s="107"/>
      <c r="C9" s="107"/>
      <c r="D9" s="107"/>
      <c r="E9" s="107"/>
      <c r="F9" s="107">
        <v>2261.25</v>
      </c>
      <c r="G9" s="107">
        <f>5832+326.7</f>
        <v>6158.7</v>
      </c>
      <c r="H9" s="107">
        <v>4565.1000000000004</v>
      </c>
      <c r="I9" s="176">
        <v>4617.1099999999997</v>
      </c>
      <c r="J9" s="178"/>
    </row>
    <row r="10" spans="1:10" ht="19.5" thickTop="1" x14ac:dyDescent="0.3">
      <c r="A10" s="100" t="s">
        <v>172</v>
      </c>
      <c r="B10" s="108">
        <f t="shared" ref="B10:I10" si="0">SUM(B2:B9)</f>
        <v>31493.390000000003</v>
      </c>
      <c r="C10" s="108">
        <f t="shared" si="0"/>
        <v>26580.89</v>
      </c>
      <c r="D10" s="108">
        <f t="shared" si="0"/>
        <v>13272.84</v>
      </c>
      <c r="E10" s="108">
        <f t="shared" si="0"/>
        <v>22950.629999999997</v>
      </c>
      <c r="F10" s="108">
        <f t="shared" si="0"/>
        <v>22283.480000000003</v>
      </c>
      <c r="G10" s="108">
        <f t="shared" si="0"/>
        <v>27143.780000000002</v>
      </c>
      <c r="H10" s="108">
        <f t="shared" si="0"/>
        <v>18906.84</v>
      </c>
      <c r="I10" s="108">
        <f t="shared" si="0"/>
        <v>23722.880000000001</v>
      </c>
    </row>
    <row r="11" spans="1:10" ht="18.75" x14ac:dyDescent="0.3">
      <c r="A11" s="100" t="s">
        <v>173</v>
      </c>
      <c r="I11" s="62" t="s">
        <v>173</v>
      </c>
      <c r="J11" s="108">
        <f>FORECAST(I10,C10:I10,B10:H10)</f>
        <v>22064.910605360375</v>
      </c>
    </row>
    <row r="12" spans="1:10" ht="18.75" x14ac:dyDescent="0.3">
      <c r="A12" s="143"/>
      <c r="I12" s="108"/>
    </row>
    <row r="13" spans="1:10" ht="15.75" thickBot="1" x14ac:dyDescent="0.3">
      <c r="A13" s="145" t="s">
        <v>182</v>
      </c>
    </row>
    <row r="14" spans="1:10" s="60" customFormat="1" ht="15.75" thickTop="1" x14ac:dyDescent="0.25">
      <c r="A14" s="144"/>
      <c r="B14" s="117">
        <v>2009</v>
      </c>
      <c r="C14" s="117">
        <v>2010</v>
      </c>
      <c r="D14" s="117">
        <v>2011</v>
      </c>
      <c r="E14" s="117">
        <v>2012</v>
      </c>
      <c r="F14" s="117">
        <v>2013</v>
      </c>
      <c r="G14" s="117">
        <v>2014</v>
      </c>
      <c r="H14" s="117">
        <v>2015</v>
      </c>
      <c r="I14" s="117">
        <v>2016</v>
      </c>
      <c r="J14" s="118" t="s">
        <v>175</v>
      </c>
    </row>
    <row r="15" spans="1:10" x14ac:dyDescent="0.25">
      <c r="A15" s="93" t="s">
        <v>166</v>
      </c>
      <c r="B15" s="119">
        <f t="shared" ref="B15:I15" si="1">B2/B10</f>
        <v>0.54068044119734326</v>
      </c>
      <c r="C15" s="119">
        <f t="shared" si="1"/>
        <v>0.6342985505752442</v>
      </c>
      <c r="D15" s="119">
        <f t="shared" si="1"/>
        <v>0.84546035362439387</v>
      </c>
      <c r="E15" s="119">
        <f t="shared" si="1"/>
        <v>0.75743541680555182</v>
      </c>
      <c r="F15" s="119">
        <f t="shared" si="1"/>
        <v>0.77937736834641624</v>
      </c>
      <c r="G15" s="119">
        <f t="shared" si="1"/>
        <v>0.54784484695941382</v>
      </c>
      <c r="H15" s="119">
        <f t="shared" si="1"/>
        <v>0.53314038728840996</v>
      </c>
      <c r="I15" s="119">
        <f t="shared" si="1"/>
        <v>0.40416677907572773</v>
      </c>
      <c r="J15" s="120">
        <f>AVERAGE(B15:I15)</f>
        <v>0.63030051798406261</v>
      </c>
    </row>
    <row r="16" spans="1:10" x14ac:dyDescent="0.25">
      <c r="A16" s="93" t="s">
        <v>167</v>
      </c>
      <c r="B16" s="119">
        <f t="shared" ref="B16:I16" si="2">B3/B10</f>
        <v>0.21330476014173133</v>
      </c>
      <c r="C16" s="119">
        <f t="shared" si="2"/>
        <v>0.1493162945258793</v>
      </c>
      <c r="D16" s="119">
        <f t="shared" si="2"/>
        <v>9.8275877656929495E-2</v>
      </c>
      <c r="E16" s="119">
        <f t="shared" si="2"/>
        <v>0.14063143364691952</v>
      </c>
      <c r="F16" s="119">
        <f t="shared" si="2"/>
        <v>0.11914611182813453</v>
      </c>
      <c r="G16" s="119">
        <f t="shared" si="2"/>
        <v>0.22526339367619394</v>
      </c>
      <c r="H16" s="119">
        <f t="shared" si="2"/>
        <v>0.18085359584150498</v>
      </c>
      <c r="I16" s="119">
        <f t="shared" si="2"/>
        <v>0.36654318531308167</v>
      </c>
      <c r="J16" s="120">
        <f t="shared" ref="J16:J22" si="3">AVERAGE(B16:I16)</f>
        <v>0.18666683157879685</v>
      </c>
    </row>
    <row r="17" spans="1:10" x14ac:dyDescent="0.25">
      <c r="A17" s="93" t="s">
        <v>168</v>
      </c>
      <c r="B17" s="119">
        <f>B4/B10</f>
        <v>1.4574486900267008E-2</v>
      </c>
      <c r="C17" s="119">
        <f>C7/C15</f>
        <v>0</v>
      </c>
      <c r="D17" s="119"/>
      <c r="E17" s="119">
        <f>E4/E10</f>
        <v>2.6143073196683493E-3</v>
      </c>
      <c r="F17" s="119">
        <f>F4/F10</f>
        <v>0</v>
      </c>
      <c r="G17" s="119"/>
      <c r="H17" s="119">
        <f>H4/H10</f>
        <v>0</v>
      </c>
      <c r="I17" s="119">
        <f>I4/I10</f>
        <v>0</v>
      </c>
      <c r="J17" s="120">
        <f t="shared" si="3"/>
        <v>2.8647990366558931E-3</v>
      </c>
    </row>
    <row r="18" spans="1:10" x14ac:dyDescent="0.25">
      <c r="A18" s="93" t="s">
        <v>169</v>
      </c>
      <c r="B18" s="121">
        <f t="shared" ref="B18:I18" si="4">B5/B10</f>
        <v>0.2314403117606583</v>
      </c>
      <c r="C18" s="119">
        <f t="shared" si="4"/>
        <v>0.21638515489887661</v>
      </c>
      <c r="D18" s="119">
        <f t="shared" si="4"/>
        <v>4.7109736876207349E-2</v>
      </c>
      <c r="E18" s="119">
        <f t="shared" si="4"/>
        <v>9.8007767107046756E-2</v>
      </c>
      <c r="F18" s="119">
        <f t="shared" si="4"/>
        <v>0</v>
      </c>
      <c r="G18" s="119">
        <f t="shared" si="4"/>
        <v>0</v>
      </c>
      <c r="H18" s="119">
        <f t="shared" si="4"/>
        <v>0</v>
      </c>
      <c r="I18" s="119">
        <f t="shared" si="4"/>
        <v>0</v>
      </c>
      <c r="J18" s="120">
        <f t="shared" si="3"/>
        <v>7.4117871330348625E-2</v>
      </c>
    </row>
    <row r="19" spans="1:10" x14ac:dyDescent="0.25">
      <c r="A19" s="93" t="s">
        <v>164</v>
      </c>
      <c r="B19" s="119">
        <f>B6/B14</f>
        <v>0</v>
      </c>
      <c r="C19" s="119">
        <f>C6/C14</f>
        <v>0</v>
      </c>
      <c r="D19" s="119">
        <f>D6/D14</f>
        <v>0</v>
      </c>
      <c r="E19" s="119"/>
      <c r="F19" s="119"/>
      <c r="G19" s="119">
        <f>G6/G14</f>
        <v>0</v>
      </c>
      <c r="H19" s="119">
        <f>H6/H10</f>
        <v>4.4553717067473991E-2</v>
      </c>
      <c r="I19" s="119">
        <f>I6/I10</f>
        <v>2.8972451911403671E-2</v>
      </c>
      <c r="J19" s="120">
        <f t="shared" si="3"/>
        <v>1.2254361496479611E-2</v>
      </c>
    </row>
    <row r="20" spans="1:10" x14ac:dyDescent="0.25">
      <c r="A20" s="93" t="s">
        <v>170</v>
      </c>
      <c r="B20" s="119">
        <f>B7/B15</f>
        <v>0</v>
      </c>
      <c r="C20" s="94"/>
      <c r="D20" s="119">
        <f>D7/D15</f>
        <v>0</v>
      </c>
      <c r="E20" s="119"/>
      <c r="F20" s="119"/>
      <c r="G20" s="119">
        <f>G7/G15</f>
        <v>0</v>
      </c>
      <c r="H20" s="119">
        <f>H7/H15</f>
        <v>0</v>
      </c>
      <c r="I20" s="119">
        <f>I7/I14</f>
        <v>0</v>
      </c>
      <c r="J20" s="120">
        <f t="shared" si="3"/>
        <v>0</v>
      </c>
    </row>
    <row r="21" spans="1:10" x14ac:dyDescent="0.25">
      <c r="A21" s="93" t="s">
        <v>171</v>
      </c>
      <c r="B21" s="119">
        <f>B8/B16</f>
        <v>0</v>
      </c>
      <c r="C21" s="119">
        <f>C8/C16</f>
        <v>0</v>
      </c>
      <c r="D21" s="119">
        <f>D8/D16</f>
        <v>0</v>
      </c>
      <c r="E21" s="119">
        <f>E8/E15</f>
        <v>0</v>
      </c>
      <c r="F21" s="94"/>
      <c r="G21" s="119">
        <f>G8/G16</f>
        <v>0</v>
      </c>
      <c r="H21" s="94"/>
      <c r="I21" s="119">
        <f>I8/I10</f>
        <v>5.6907087166482313E-3</v>
      </c>
      <c r="J21" s="120">
        <f t="shared" si="3"/>
        <v>9.4845145277470521E-4</v>
      </c>
    </row>
    <row r="22" spans="1:10" ht="15.75" thickBot="1" x14ac:dyDescent="0.3">
      <c r="A22" s="95" t="s">
        <v>163</v>
      </c>
      <c r="B22" s="122"/>
      <c r="C22" s="123"/>
      <c r="D22" s="123"/>
      <c r="E22" s="96"/>
      <c r="F22" s="123">
        <f>F9/F10</f>
        <v>0.10147651982544915</v>
      </c>
      <c r="G22" s="123">
        <f>G9/G10</f>
        <v>0.2268917593643921</v>
      </c>
      <c r="H22" s="123">
        <f>H9/H10</f>
        <v>0.24145229980261113</v>
      </c>
      <c r="I22" s="123">
        <f>I9/I10</f>
        <v>0.19462687498313863</v>
      </c>
      <c r="J22" s="124">
        <f t="shared" si="3"/>
        <v>0.19111186349389775</v>
      </c>
    </row>
    <row r="23" spans="1:10" ht="15.75" thickTop="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1494-84A5-47F1-94C6-52ED6233E128}">
  <sheetPr>
    <pageSetUpPr fitToPage="1"/>
  </sheetPr>
  <dimension ref="A1:T84"/>
  <sheetViews>
    <sheetView view="pageLayout" topLeftCell="A62" zoomScaleNormal="80" workbookViewId="0">
      <selection activeCell="A72" sqref="A72"/>
    </sheetView>
  </sheetViews>
  <sheetFormatPr defaultRowHeight="15" x14ac:dyDescent="0.25"/>
  <cols>
    <col min="1" max="1" width="60.5703125" customWidth="1"/>
    <col min="2" max="2" width="26.28515625" customWidth="1"/>
    <col min="3" max="3" width="24" customWidth="1"/>
    <col min="4" max="4" width="16" customWidth="1"/>
    <col min="5" max="6" width="26" customWidth="1"/>
    <col min="7" max="7" width="25" customWidth="1"/>
    <col min="8" max="8" width="27.5703125" customWidth="1"/>
    <col min="9" max="9" width="26.42578125" customWidth="1"/>
    <col min="10" max="10" width="24" customWidth="1"/>
    <col min="11" max="11" width="23.5703125" customWidth="1"/>
    <col min="12" max="12" width="23" customWidth="1"/>
    <col min="13" max="13" width="3.28515625" customWidth="1"/>
    <col min="14" max="14" width="15" customWidth="1"/>
    <col min="15" max="17" width="13.42578125" bestFit="1" customWidth="1"/>
    <col min="18" max="18" width="14.28515625" customWidth="1"/>
    <col min="19" max="19" width="17.42578125" customWidth="1"/>
    <col min="20" max="20" width="20.7109375" customWidth="1"/>
  </cols>
  <sheetData>
    <row r="1" spans="1:20" ht="23.25" x14ac:dyDescent="0.35">
      <c r="A1" s="298" t="s">
        <v>428</v>
      </c>
      <c r="B1" s="299"/>
      <c r="C1" s="299"/>
      <c r="D1" s="297"/>
      <c r="E1" s="297"/>
      <c r="F1" s="297"/>
      <c r="G1" s="300"/>
      <c r="H1" s="300"/>
      <c r="I1" s="302" t="s">
        <v>308</v>
      </c>
      <c r="J1" s="300"/>
      <c r="K1" s="300"/>
      <c r="L1" s="300"/>
      <c r="M1" s="297"/>
    </row>
    <row r="2" spans="1:20" ht="18.75" hidden="1" x14ac:dyDescent="0.3">
      <c r="A2" s="327"/>
      <c r="B2" s="327"/>
      <c r="C2" s="327"/>
      <c r="D2" s="320"/>
      <c r="E2" s="320"/>
      <c r="F2" s="320"/>
      <c r="G2" s="320"/>
      <c r="H2" s="320"/>
      <c r="I2" s="320"/>
      <c r="J2" s="320"/>
      <c r="K2" s="320"/>
      <c r="L2" s="320"/>
      <c r="M2" s="297"/>
    </row>
    <row r="3" spans="1:20" ht="21" hidden="1" customHeight="1" x14ac:dyDescent="0.3">
      <c r="A3" s="327"/>
      <c r="B3" s="327"/>
      <c r="C3" s="535">
        <v>2.5000000000000001E-2</v>
      </c>
      <c r="D3" s="320"/>
      <c r="E3" s="540">
        <v>2017</v>
      </c>
      <c r="F3" s="540">
        <v>2018</v>
      </c>
      <c r="G3" s="540">
        <v>2019</v>
      </c>
      <c r="H3" s="540">
        <v>2020</v>
      </c>
      <c r="I3" s="540">
        <v>2021</v>
      </c>
      <c r="J3" s="540">
        <v>2022</v>
      </c>
      <c r="K3" s="540">
        <v>2023</v>
      </c>
      <c r="L3" s="540">
        <v>2024</v>
      </c>
      <c r="N3" s="300"/>
    </row>
    <row r="4" spans="1:20" ht="21" hidden="1" customHeight="1" thickBot="1" x14ac:dyDescent="0.35">
      <c r="A4" s="328" t="s">
        <v>441</v>
      </c>
      <c r="B4" s="328"/>
      <c r="C4" s="328"/>
      <c r="D4" s="301"/>
      <c r="E4" s="302"/>
      <c r="F4" s="538" t="e">
        <f>F49</f>
        <v>#REF!</v>
      </c>
      <c r="G4" s="538" t="e">
        <f t="shared" ref="G4" si="0">G49</f>
        <v>#REF!</v>
      </c>
      <c r="H4" s="538" t="e">
        <f>H49</f>
        <v>#REF!</v>
      </c>
      <c r="I4" s="538" t="e">
        <f>I49</f>
        <v>#REF!</v>
      </c>
      <c r="J4" s="538" t="e">
        <f>J49</f>
        <v>#REF!</v>
      </c>
      <c r="K4" s="538" t="e">
        <f>K49</f>
        <v>#REF!</v>
      </c>
      <c r="L4" s="538" t="e">
        <f>L49</f>
        <v>#REF!</v>
      </c>
      <c r="N4" s="300"/>
    </row>
    <row r="5" spans="1:20" ht="21" hidden="1" customHeight="1" x14ac:dyDescent="0.3">
      <c r="A5" s="327" t="s">
        <v>266</v>
      </c>
      <c r="B5" s="327"/>
      <c r="C5" s="327"/>
      <c r="D5" s="541"/>
      <c r="E5" s="305"/>
      <c r="F5" s="539"/>
      <c r="G5" s="304">
        <v>0.22</v>
      </c>
      <c r="H5" s="304">
        <v>5.5E-2</v>
      </c>
      <c r="I5" s="304">
        <v>5.5E-2</v>
      </c>
      <c r="J5" s="304">
        <v>5.5E-2</v>
      </c>
      <c r="K5" s="304">
        <v>5.5E-2</v>
      </c>
      <c r="L5" s="305">
        <v>5.5E-2</v>
      </c>
    </row>
    <row r="6" spans="1:20" ht="21" hidden="1" x14ac:dyDescent="0.3">
      <c r="A6" s="327" t="s">
        <v>267</v>
      </c>
      <c r="B6" s="327"/>
      <c r="C6" s="327"/>
      <c r="D6" s="314"/>
      <c r="E6" s="537"/>
      <c r="F6" s="315"/>
      <c r="G6" s="315">
        <f>(G18+G19+G20+G34+G36)/(F18+F19+F20+F34+F36)-1</f>
        <v>-7.6102760974332551E-2</v>
      </c>
      <c r="H6" s="315">
        <f t="shared" ref="H6:L6" si="1">(H18+H19+H20+H34+H36)/(G18+G19+G20+G34+G36)-1</f>
        <v>0.16275311728258268</v>
      </c>
      <c r="I6" s="315">
        <f t="shared" si="1"/>
        <v>1.5441640946232127E-3</v>
      </c>
      <c r="J6" s="315">
        <f t="shared" si="1"/>
        <v>6.2220368326686426E-3</v>
      </c>
      <c r="K6" s="315">
        <f t="shared" si="1"/>
        <v>6.3690693535412013E-3</v>
      </c>
      <c r="L6" s="315">
        <f t="shared" si="1"/>
        <v>6.5186238666508078E-3</v>
      </c>
    </row>
    <row r="7" spans="1:20" ht="21" hidden="1" x14ac:dyDescent="0.3">
      <c r="A7" s="327" t="s">
        <v>268</v>
      </c>
      <c r="B7" s="327"/>
      <c r="C7" s="327"/>
      <c r="D7" s="314"/>
      <c r="E7" s="537"/>
      <c r="F7" s="315"/>
      <c r="G7" s="315">
        <f>(G19+G34+G36)/(F19+F34+F36)-1</f>
        <v>-0.13775110482168684</v>
      </c>
      <c r="H7" s="315">
        <f t="shared" ref="H7:L7" si="2">(H19+H34+H36)/(G19+G34+G36)-1</f>
        <v>0.20963566110562137</v>
      </c>
      <c r="I7" s="315">
        <f t="shared" si="2"/>
        <v>0</v>
      </c>
      <c r="J7" s="315">
        <f t="shared" si="2"/>
        <v>0</v>
      </c>
      <c r="K7" s="315">
        <f t="shared" si="2"/>
        <v>0</v>
      </c>
      <c r="L7" s="315">
        <f t="shared" si="2"/>
        <v>0</v>
      </c>
    </row>
    <row r="8" spans="1:20" ht="19.5" hidden="1" thickBot="1" x14ac:dyDescent="0.35">
      <c r="A8" s="327" t="s">
        <v>269</v>
      </c>
      <c r="B8" s="327"/>
      <c r="C8" s="327"/>
      <c r="D8" s="306"/>
      <c r="E8" s="307"/>
      <c r="F8" s="307">
        <f>F14/-F29*365</f>
        <v>112.29728870992427</v>
      </c>
      <c r="G8" s="307" t="e">
        <f t="shared" ref="G8:L8" si="3">G14/-G29*365</f>
        <v>#REF!</v>
      </c>
      <c r="H8" s="307" t="e">
        <f t="shared" si="3"/>
        <v>#REF!</v>
      </c>
      <c r="I8" s="307" t="e">
        <f t="shared" si="3"/>
        <v>#REF!</v>
      </c>
      <c r="J8" s="307" t="e">
        <f t="shared" si="3"/>
        <v>#REF!</v>
      </c>
      <c r="K8" s="307" t="e">
        <f t="shared" si="3"/>
        <v>#REF!</v>
      </c>
      <c r="L8" s="307" t="e">
        <f t="shared" si="3"/>
        <v>#REF!</v>
      </c>
      <c r="N8" s="296"/>
    </row>
    <row r="9" spans="1:20" ht="18.75" hidden="1" x14ac:dyDescent="0.3">
      <c r="A9" s="542" t="s">
        <v>442</v>
      </c>
      <c r="B9" s="542"/>
      <c r="C9" s="542"/>
      <c r="D9" s="546"/>
      <c r="E9" s="546"/>
      <c r="F9" s="546"/>
      <c r="G9" s="547">
        <f>G6*(94.11+J102)</f>
        <v>-7.162030835294436</v>
      </c>
      <c r="H9" s="547">
        <f>H6*(94.11+1)</f>
        <v>15.479448984746439</v>
      </c>
      <c r="I9" s="547">
        <f t="shared" ref="I9:K9" si="4">I6*(94.11+1)</f>
        <v>0.14686544703961377</v>
      </c>
      <c r="J9" s="547">
        <f>J6*(94.11+1)</f>
        <v>0.59177792315511457</v>
      </c>
      <c r="K9" s="547">
        <f t="shared" si="4"/>
        <v>0.60576218621530364</v>
      </c>
      <c r="L9" s="547">
        <f>L6*(94.11+1)</f>
        <v>0.61998631595715836</v>
      </c>
    </row>
    <row r="10" spans="1:20" ht="18.75" hidden="1" x14ac:dyDescent="0.3">
      <c r="A10" s="542" t="s">
        <v>443</v>
      </c>
      <c r="B10" s="542"/>
      <c r="C10" s="542"/>
      <c r="D10" s="546"/>
      <c r="E10" s="546"/>
      <c r="F10" s="546"/>
      <c r="G10" s="547"/>
      <c r="H10" s="548">
        <f>H7*(69.61+1)</f>
        <v>14.802374030667925</v>
      </c>
      <c r="I10" s="548">
        <f t="shared" ref="I10:L10" si="5">I7*(69.61+1)</f>
        <v>0</v>
      </c>
      <c r="J10" s="548">
        <f t="shared" si="5"/>
        <v>0</v>
      </c>
      <c r="K10" s="548">
        <f t="shared" si="5"/>
        <v>0</v>
      </c>
      <c r="L10" s="548">
        <f t="shared" si="5"/>
        <v>0</v>
      </c>
    </row>
    <row r="11" spans="1:20" ht="18.75" x14ac:dyDescent="0.3">
      <c r="A11" s="725" t="s">
        <v>445</v>
      </c>
      <c r="B11" s="725"/>
      <c r="C11" s="725"/>
      <c r="D11" s="726"/>
      <c r="E11" s="726">
        <f>E14/-E29*365</f>
        <v>-77.733983711510817</v>
      </c>
      <c r="F11" s="726">
        <f t="shared" ref="F11:L11" si="6">F14/-F29*365</f>
        <v>112.29728870992427</v>
      </c>
      <c r="G11" s="726" t="e">
        <f t="shared" si="6"/>
        <v>#REF!</v>
      </c>
      <c r="H11" s="726" t="e">
        <f t="shared" si="6"/>
        <v>#REF!</v>
      </c>
      <c r="I11" s="726" t="e">
        <f t="shared" si="6"/>
        <v>#REF!</v>
      </c>
      <c r="J11" s="726" t="e">
        <f t="shared" si="6"/>
        <v>#REF!</v>
      </c>
      <c r="K11" s="726" t="e">
        <f t="shared" si="6"/>
        <v>#REF!</v>
      </c>
      <c r="L11" s="726" t="e">
        <f t="shared" si="6"/>
        <v>#REF!</v>
      </c>
    </row>
    <row r="12" spans="1:20" ht="16.5" thickBot="1" x14ac:dyDescent="0.3">
      <c r="A12" s="309"/>
      <c r="B12" s="309"/>
      <c r="C12" s="309"/>
      <c r="D12" s="309"/>
      <c r="E12" s="309"/>
      <c r="F12" s="309"/>
      <c r="G12" s="309"/>
      <c r="H12" s="309"/>
      <c r="I12" s="309"/>
      <c r="J12" s="309"/>
      <c r="K12" s="309"/>
      <c r="L12" s="309"/>
      <c r="N12" s="296"/>
    </row>
    <row r="13" spans="1:20" ht="21" customHeight="1" thickTop="1" thickBot="1" x14ac:dyDescent="0.4">
      <c r="A13" s="317"/>
      <c r="B13" s="318"/>
      <c r="C13" s="559" t="s">
        <v>282</v>
      </c>
      <c r="D13" s="559" t="s">
        <v>283</v>
      </c>
      <c r="E13" s="559" t="s">
        <v>206</v>
      </c>
      <c r="F13" s="560" t="s">
        <v>209</v>
      </c>
      <c r="G13" s="561" t="s">
        <v>211</v>
      </c>
      <c r="H13" s="559" t="s">
        <v>213</v>
      </c>
      <c r="I13" s="559" t="s">
        <v>284</v>
      </c>
      <c r="J13" s="559" t="s">
        <v>285</v>
      </c>
      <c r="K13" s="559" t="s">
        <v>286</v>
      </c>
      <c r="L13" s="562" t="s">
        <v>287</v>
      </c>
    </row>
    <row r="14" spans="1:20" ht="21" customHeight="1" thickTop="1" thickBot="1" x14ac:dyDescent="0.4">
      <c r="A14" s="568" t="s">
        <v>214</v>
      </c>
      <c r="B14" s="568" t="s">
        <v>462</v>
      </c>
      <c r="C14" s="563">
        <v>0</v>
      </c>
      <c r="D14" s="563">
        <v>150000</v>
      </c>
      <c r="E14" s="564">
        <v>-136920</v>
      </c>
      <c r="F14" s="565">
        <v>220000</v>
      </c>
      <c r="G14" s="566" t="e">
        <f>F65</f>
        <v>#REF!</v>
      </c>
      <c r="H14" s="567" t="e">
        <f t="shared" ref="H14:L14" si="7">G65</f>
        <v>#REF!</v>
      </c>
      <c r="I14" s="564" t="e">
        <f t="shared" si="7"/>
        <v>#REF!</v>
      </c>
      <c r="J14" s="564" t="e">
        <f t="shared" si="7"/>
        <v>#REF!</v>
      </c>
      <c r="K14" s="564" t="e">
        <f t="shared" si="7"/>
        <v>#REF!</v>
      </c>
      <c r="L14" s="564" t="e">
        <f t="shared" si="7"/>
        <v>#REF!</v>
      </c>
    </row>
    <row r="15" spans="1:20" ht="21.75" thickTop="1" x14ac:dyDescent="0.35">
      <c r="A15" s="568" t="s">
        <v>430</v>
      </c>
      <c r="B15" s="568"/>
      <c r="C15" s="568"/>
      <c r="D15" s="568"/>
      <c r="E15" s="568"/>
      <c r="F15" s="569" t="e">
        <f>F23-E23</f>
        <v>#REF!</v>
      </c>
      <c r="G15" s="570" t="e">
        <f>G23-F23</f>
        <v>#REF!</v>
      </c>
      <c r="H15" s="571" t="e">
        <f>H23-G23</f>
        <v>#REF!</v>
      </c>
      <c r="I15" s="572" t="e">
        <f t="shared" ref="I15:L15" si="8">I23-H23</f>
        <v>#REF!</v>
      </c>
      <c r="J15" s="572" t="e">
        <f t="shared" si="8"/>
        <v>#REF!</v>
      </c>
      <c r="K15" s="572" t="e">
        <f t="shared" si="8"/>
        <v>#REF!</v>
      </c>
      <c r="L15" s="572" t="e">
        <f t="shared" si="8"/>
        <v>#REF!</v>
      </c>
      <c r="M15" s="309"/>
      <c r="N15" s="549"/>
      <c r="O15" s="296"/>
      <c r="P15" s="296"/>
      <c r="Q15" s="296"/>
      <c r="R15" s="296"/>
      <c r="T15" s="545"/>
    </row>
    <row r="16" spans="1:20" ht="21" x14ac:dyDescent="0.35">
      <c r="A16" s="592" t="s">
        <v>424</v>
      </c>
      <c r="B16" s="593"/>
      <c r="C16" s="573"/>
      <c r="D16" s="573"/>
      <c r="E16" s="574"/>
      <c r="F16" s="575"/>
      <c r="G16" s="576"/>
      <c r="H16" s="577"/>
      <c r="I16" s="574"/>
      <c r="J16" s="574"/>
      <c r="K16" s="574"/>
      <c r="L16" s="578"/>
      <c r="M16" s="309"/>
      <c r="N16" s="91"/>
      <c r="O16" s="91"/>
      <c r="P16" s="91"/>
      <c r="Q16" s="91"/>
      <c r="R16" s="91"/>
      <c r="S16" s="296"/>
      <c r="T16" s="91"/>
    </row>
    <row r="17" spans="1:16" ht="21" x14ac:dyDescent="0.35">
      <c r="A17" s="592" t="s">
        <v>215</v>
      </c>
      <c r="B17" s="593"/>
      <c r="C17" s="573"/>
      <c r="D17" s="594"/>
      <c r="E17" s="587"/>
      <c r="F17" s="588"/>
      <c r="G17" s="589"/>
      <c r="H17" s="591"/>
      <c r="I17" s="587"/>
      <c r="J17" s="587"/>
      <c r="K17" s="587"/>
      <c r="L17" s="587"/>
      <c r="M17" s="309"/>
    </row>
    <row r="18" spans="1:16" ht="21" x14ac:dyDescent="0.35">
      <c r="A18" s="592" t="s">
        <v>259</v>
      </c>
      <c r="B18" s="593"/>
      <c r="C18" s="573"/>
      <c r="D18" s="594"/>
      <c r="E18" s="587">
        <f>252840</f>
        <v>252840</v>
      </c>
      <c r="F18" s="588">
        <v>256956</v>
      </c>
      <c r="G18" s="589">
        <f>'2022 Approved'!C107</f>
        <v>276360</v>
      </c>
      <c r="H18" s="590">
        <f>(G18*3%)+G18</f>
        <v>284650.8</v>
      </c>
      <c r="I18" s="590">
        <f t="shared" ref="I18:L18" si="9">(H18*3%)+H18</f>
        <v>293190.32399999996</v>
      </c>
      <c r="J18" s="590">
        <f t="shared" si="9"/>
        <v>301986.03371999995</v>
      </c>
      <c r="K18" s="590">
        <f t="shared" si="9"/>
        <v>311045.61473159993</v>
      </c>
      <c r="L18" s="590">
        <f t="shared" si="9"/>
        <v>320376.98317354789</v>
      </c>
      <c r="M18" s="309"/>
    </row>
    <row r="19" spans="1:16" ht="21" x14ac:dyDescent="0.35">
      <c r="A19" s="592" t="s">
        <v>260</v>
      </c>
      <c r="B19" s="593"/>
      <c r="C19" s="573"/>
      <c r="D19" s="594"/>
      <c r="E19" s="587">
        <v>267300</v>
      </c>
      <c r="F19" s="588">
        <v>264600</v>
      </c>
      <c r="G19" s="589">
        <f>'2022 Approved'!C109</f>
        <v>512280</v>
      </c>
      <c r="H19" s="591">
        <f>'2022 Approved'!C109</f>
        <v>512280</v>
      </c>
      <c r="I19" s="587">
        <f>'2022 Approved'!C109</f>
        <v>512280</v>
      </c>
      <c r="J19" s="587">
        <f>'2022 Approved'!C109</f>
        <v>512280</v>
      </c>
      <c r="K19" s="587">
        <f>'2022 Approved'!C109</f>
        <v>512280</v>
      </c>
      <c r="L19" s="587">
        <f>'2022 Approved'!C109</f>
        <v>512280</v>
      </c>
      <c r="M19" s="309"/>
    </row>
    <row r="20" spans="1:16" ht="21" x14ac:dyDescent="0.35">
      <c r="A20" s="592" t="s">
        <v>261</v>
      </c>
      <c r="B20" s="593"/>
      <c r="C20" s="573"/>
      <c r="D20" s="594"/>
      <c r="E20" s="587">
        <v>45000</v>
      </c>
      <c r="F20" s="588">
        <v>45000</v>
      </c>
      <c r="G20" s="589">
        <f>'2022 Approved'!C106</f>
        <v>65000</v>
      </c>
      <c r="H20" s="591">
        <v>71360</v>
      </c>
      <c r="I20" s="587">
        <f>'2022 Approved'!C106</f>
        <v>65000</v>
      </c>
      <c r="J20" s="587">
        <f>'2022 Approved'!C106</f>
        <v>65000</v>
      </c>
      <c r="K20" s="587">
        <f>'2022 Approved'!C106</f>
        <v>65000</v>
      </c>
      <c r="L20" s="587">
        <f>'2022 Approved'!C106</f>
        <v>65000</v>
      </c>
      <c r="M20" s="309"/>
      <c r="N20" s="550"/>
    </row>
    <row r="21" spans="1:16" ht="21" x14ac:dyDescent="0.35">
      <c r="A21" s="592" t="s">
        <v>425</v>
      </c>
      <c r="B21" s="593"/>
      <c r="C21" s="573"/>
      <c r="D21" s="594"/>
      <c r="E21" s="587">
        <f>Inputs!J11</f>
        <v>15600</v>
      </c>
      <c r="F21" s="588" t="e">
        <f>'2022 Approved'!#REF!</f>
        <v>#REF!</v>
      </c>
      <c r="G21" s="589">
        <f>'2022 Approved'!C112</f>
        <v>7000</v>
      </c>
      <c r="H21" s="591">
        <f>G21*(H5+1)</f>
        <v>7385</v>
      </c>
      <c r="I21" s="591">
        <f t="shared" ref="I21:L21" si="10">H21*(I5+1)</f>
        <v>7791.1749999999993</v>
      </c>
      <c r="J21" s="591">
        <f t="shared" si="10"/>
        <v>8219.6896249999991</v>
      </c>
      <c r="K21" s="591">
        <f t="shared" si="10"/>
        <v>8671.7725543749984</v>
      </c>
      <c r="L21" s="591">
        <f t="shared" si="10"/>
        <v>9148.7200448656222</v>
      </c>
      <c r="M21" s="309"/>
      <c r="N21" s="296"/>
      <c r="O21" s="296"/>
    </row>
    <row r="22" spans="1:16" ht="21" x14ac:dyDescent="0.35">
      <c r="A22" s="592" t="s">
        <v>310</v>
      </c>
      <c r="B22" s="593"/>
      <c r="C22" s="573"/>
      <c r="D22" s="594"/>
      <c r="E22" s="587">
        <f>Inputs!J12</f>
        <v>50000</v>
      </c>
      <c r="F22" s="588">
        <v>35000</v>
      </c>
      <c r="G22" s="589" t="e">
        <f>'2022 Approved'!#REF!</f>
        <v>#REF!</v>
      </c>
      <c r="H22" s="591" t="e">
        <f>G22</f>
        <v>#REF!</v>
      </c>
      <c r="I22" s="587" t="e">
        <f>G22</f>
        <v>#REF!</v>
      </c>
      <c r="J22" s="587" t="e">
        <f>G22</f>
        <v>#REF!</v>
      </c>
      <c r="K22" s="587" t="e">
        <f>G22</f>
        <v>#REF!</v>
      </c>
      <c r="L22" s="587" t="e">
        <f>G22</f>
        <v>#REF!</v>
      </c>
      <c r="M22" s="309"/>
      <c r="N22" s="296"/>
    </row>
    <row r="23" spans="1:16" ht="21" x14ac:dyDescent="0.35">
      <c r="A23" s="592" t="s">
        <v>226</v>
      </c>
      <c r="B23" s="593"/>
      <c r="C23" s="573"/>
      <c r="D23" s="594"/>
      <c r="E23" s="587">
        <f t="shared" ref="E23:L23" si="11">SUM(E18:E22)</f>
        <v>630740</v>
      </c>
      <c r="F23" s="588" t="e">
        <f>SUM(F18:F22)</f>
        <v>#REF!</v>
      </c>
      <c r="G23" s="589" t="e">
        <f t="shared" si="11"/>
        <v>#REF!</v>
      </c>
      <c r="H23" s="591" t="e">
        <f t="shared" si="11"/>
        <v>#REF!</v>
      </c>
      <c r="I23" s="587" t="e">
        <f t="shared" si="11"/>
        <v>#REF!</v>
      </c>
      <c r="J23" s="587" t="e">
        <f t="shared" si="11"/>
        <v>#REF!</v>
      </c>
      <c r="K23" s="587" t="e">
        <f t="shared" si="11"/>
        <v>#REF!</v>
      </c>
      <c r="L23" s="587" t="e">
        <f t="shared" si="11"/>
        <v>#REF!</v>
      </c>
      <c r="M23" s="309"/>
      <c r="N23" s="296"/>
      <c r="O23" s="296"/>
    </row>
    <row r="24" spans="1:16" ht="21" x14ac:dyDescent="0.35">
      <c r="A24" s="169"/>
      <c r="B24" s="169"/>
      <c r="C24" s="595"/>
      <c r="D24" s="595"/>
      <c r="E24" s="596"/>
      <c r="F24" s="597"/>
      <c r="G24" s="598"/>
      <c r="H24" s="599"/>
      <c r="I24" s="596"/>
      <c r="J24" s="596"/>
      <c r="K24" s="596"/>
      <c r="L24" s="596"/>
      <c r="M24" s="309"/>
    </row>
    <row r="25" spans="1:16" ht="21" x14ac:dyDescent="0.35">
      <c r="A25" s="639" t="s">
        <v>288</v>
      </c>
      <c r="B25" s="640"/>
      <c r="C25" s="641"/>
      <c r="D25" s="641"/>
      <c r="E25" s="642"/>
      <c r="F25" s="643"/>
      <c r="G25" s="644"/>
      <c r="H25" s="642"/>
      <c r="I25" s="641"/>
      <c r="J25" s="641"/>
      <c r="K25" s="641"/>
      <c r="L25" s="641"/>
      <c r="M25" s="309"/>
      <c r="N25" s="296"/>
    </row>
    <row r="26" spans="1:16" ht="21" x14ac:dyDescent="0.35">
      <c r="A26" s="645" t="s">
        <v>438</v>
      </c>
      <c r="B26" s="646"/>
      <c r="C26" s="647">
        <v>2.5000000000000001E-2</v>
      </c>
      <c r="D26" s="648"/>
      <c r="E26" s="649">
        <f>-Inputs!J42</f>
        <v>-410611</v>
      </c>
      <c r="F26" s="650">
        <f>-Inputs!K42</f>
        <v>-467524.24</v>
      </c>
      <c r="G26" s="651" t="e">
        <f>-'2022 Approved'!#REF!</f>
        <v>#REF!</v>
      </c>
      <c r="H26" s="649" t="e">
        <f>G26*(C26+1)</f>
        <v>#REF!</v>
      </c>
      <c r="I26" s="652" t="e">
        <f>H26*(C26+1)</f>
        <v>#REF!</v>
      </c>
      <c r="J26" s="652" t="e">
        <f>I26*(C26+1)</f>
        <v>#REF!</v>
      </c>
      <c r="K26" s="652" t="e">
        <f>J26*(C26+1)</f>
        <v>#REF!</v>
      </c>
      <c r="L26" s="652" t="e">
        <f>K26*(C26+1)</f>
        <v>#REF!</v>
      </c>
      <c r="M26" s="309"/>
      <c r="N26" s="296"/>
      <c r="O26" s="296"/>
      <c r="P26" s="296"/>
    </row>
    <row r="27" spans="1:16" ht="21" x14ac:dyDescent="0.35">
      <c r="A27" s="653" t="s">
        <v>439</v>
      </c>
      <c r="B27" s="654"/>
      <c r="C27" s="655"/>
      <c r="D27" s="656"/>
      <c r="E27" s="657">
        <f>-Inputs!J68</f>
        <v>-115315</v>
      </c>
      <c r="F27" s="658">
        <f>-Inputs!K68</f>
        <v>-107450</v>
      </c>
      <c r="G27" s="659" t="e">
        <f>-'2022 Approved'!#REF!</f>
        <v>#REF!</v>
      </c>
      <c r="H27" s="657" t="e">
        <f>G27*(C26+1)</f>
        <v>#REF!</v>
      </c>
      <c r="I27" s="660" t="e">
        <f>H27*(C26+1)</f>
        <v>#REF!</v>
      </c>
      <c r="J27" s="660" t="e">
        <f>I27*(C26+1)</f>
        <v>#REF!</v>
      </c>
      <c r="K27" s="660" t="e">
        <f>J27*(C26+1)</f>
        <v>#REF!</v>
      </c>
      <c r="L27" s="660" t="e">
        <f>K27*(C26+1)</f>
        <v>#REF!</v>
      </c>
      <c r="M27" s="309"/>
    </row>
    <row r="28" spans="1:16" ht="21" x14ac:dyDescent="0.35">
      <c r="A28" s="653" t="s">
        <v>440</v>
      </c>
      <c r="B28" s="654"/>
      <c r="C28" s="661"/>
      <c r="D28" s="656"/>
      <c r="E28" s="657">
        <f>-Inputs!J92</f>
        <v>-116982</v>
      </c>
      <c r="F28" s="658">
        <f>-Inputs!K92+28100</f>
        <v>-140092</v>
      </c>
      <c r="G28" s="659" t="e">
        <f>-'2022 Approved'!#REF!</f>
        <v>#REF!</v>
      </c>
      <c r="H28" s="657" t="e">
        <f>G28*(C26+1)</f>
        <v>#REF!</v>
      </c>
      <c r="I28" s="660" t="e">
        <f>H28*(C26+1)</f>
        <v>#REF!</v>
      </c>
      <c r="J28" s="660" t="e">
        <f>I28*(C26+1)</f>
        <v>#REF!</v>
      </c>
      <c r="K28" s="660" t="e">
        <f>J28*(C26+1)</f>
        <v>#REF!</v>
      </c>
      <c r="L28" s="660" t="e">
        <f>K28*(C26+1)</f>
        <v>#REF!</v>
      </c>
      <c r="M28" s="309"/>
    </row>
    <row r="29" spans="1:16" ht="21" x14ac:dyDescent="0.35">
      <c r="A29" s="639" t="s">
        <v>289</v>
      </c>
      <c r="B29" s="662"/>
      <c r="C29" s="663">
        <f t="shared" ref="C29:H29" si="12">SUM(C26:C28)</f>
        <v>2.5000000000000001E-2</v>
      </c>
      <c r="D29" s="663">
        <f t="shared" si="12"/>
        <v>0</v>
      </c>
      <c r="E29" s="664">
        <f t="shared" si="12"/>
        <v>-642908</v>
      </c>
      <c r="F29" s="665">
        <f t="shared" si="12"/>
        <v>-715066.24</v>
      </c>
      <c r="G29" s="666" t="e">
        <f t="shared" si="12"/>
        <v>#REF!</v>
      </c>
      <c r="H29" s="664" t="e">
        <f t="shared" si="12"/>
        <v>#REF!</v>
      </c>
      <c r="I29" s="663" t="e">
        <f t="shared" ref="I29:L29" si="13">SUM(I26:I28)</f>
        <v>#REF!</v>
      </c>
      <c r="J29" s="663" t="e">
        <f t="shared" si="13"/>
        <v>#REF!</v>
      </c>
      <c r="K29" s="663" t="e">
        <f t="shared" si="13"/>
        <v>#REF!</v>
      </c>
      <c r="L29" s="663" t="e">
        <f t="shared" si="13"/>
        <v>#REF!</v>
      </c>
      <c r="M29" s="309"/>
      <c r="N29" s="296"/>
    </row>
    <row r="30" spans="1:16" ht="21" x14ac:dyDescent="0.35">
      <c r="A30" s="600"/>
      <c r="B30" s="601"/>
      <c r="C30" s="602"/>
      <c r="D30" s="603"/>
      <c r="E30" s="604"/>
      <c r="F30" s="605"/>
      <c r="G30" s="606"/>
      <c r="H30" s="604"/>
      <c r="I30" s="602"/>
      <c r="J30" s="602"/>
      <c r="K30" s="602"/>
      <c r="L30" s="602"/>
      <c r="M30" s="309"/>
    </row>
    <row r="31" spans="1:16" ht="21" x14ac:dyDescent="0.35">
      <c r="A31" s="667" t="s">
        <v>290</v>
      </c>
      <c r="B31" s="668"/>
      <c r="C31" s="669"/>
      <c r="D31" s="669"/>
      <c r="E31" s="670"/>
      <c r="F31" s="671"/>
      <c r="G31" s="672"/>
      <c r="H31" s="670"/>
      <c r="I31" s="669"/>
      <c r="J31" s="669"/>
      <c r="K31" s="669"/>
      <c r="L31" s="669"/>
      <c r="M31" s="309"/>
    </row>
    <row r="32" spans="1:16" ht="21" x14ac:dyDescent="0.35">
      <c r="A32" s="673" t="s">
        <v>291</v>
      </c>
      <c r="B32" s="674"/>
      <c r="C32" s="675"/>
      <c r="D32" s="676"/>
      <c r="E32" s="677">
        <v>2500</v>
      </c>
      <c r="F32" s="678">
        <v>2500</v>
      </c>
      <c r="G32" s="679" t="e">
        <f>'2022 Approved'!#REF!</f>
        <v>#REF!</v>
      </c>
      <c r="H32" s="677" t="e">
        <f>(H14-185000)*2.47%+(2709.94+4840.57)</f>
        <v>#REF!</v>
      </c>
      <c r="I32" s="675" t="e">
        <f t="shared" ref="I32:L32" si="14">(I14-185000)*2.47%+(2709.94+4840.57)</f>
        <v>#REF!</v>
      </c>
      <c r="J32" s="675" t="e">
        <f t="shared" si="14"/>
        <v>#REF!</v>
      </c>
      <c r="K32" s="675" t="e">
        <f t="shared" si="14"/>
        <v>#REF!</v>
      </c>
      <c r="L32" s="675" t="e">
        <f t="shared" si="14"/>
        <v>#REF!</v>
      </c>
      <c r="M32" s="309"/>
    </row>
    <row r="33" spans="1:13" ht="21" x14ac:dyDescent="0.35">
      <c r="A33" s="673" t="s">
        <v>56</v>
      </c>
      <c r="B33" s="674"/>
      <c r="C33" s="675"/>
      <c r="D33" s="676"/>
      <c r="E33" s="677">
        <f>D33</f>
        <v>0</v>
      </c>
      <c r="F33" s="678">
        <v>0</v>
      </c>
      <c r="G33" s="679">
        <v>0</v>
      </c>
      <c r="H33" s="677">
        <v>0</v>
      </c>
      <c r="I33" s="675">
        <v>0</v>
      </c>
      <c r="J33" s="675">
        <v>0</v>
      </c>
      <c r="K33" s="675">
        <v>0</v>
      </c>
      <c r="L33" s="675">
        <v>0</v>
      </c>
      <c r="M33" s="309"/>
    </row>
    <row r="34" spans="1:13" ht="21" x14ac:dyDescent="0.35">
      <c r="A34" s="592" t="s">
        <v>262</v>
      </c>
      <c r="B34" s="593"/>
      <c r="C34" s="573"/>
      <c r="D34" s="594"/>
      <c r="E34" s="587">
        <f>Inputs!J10</f>
        <v>205056</v>
      </c>
      <c r="F34" s="588">
        <v>204160</v>
      </c>
      <c r="G34" s="589">
        <v>0</v>
      </c>
      <c r="H34" s="591">
        <v>0</v>
      </c>
      <c r="I34" s="587">
        <v>0</v>
      </c>
      <c r="J34" s="587">
        <v>0</v>
      </c>
      <c r="K34" s="587">
        <v>0</v>
      </c>
      <c r="L34" s="587">
        <v>0</v>
      </c>
      <c r="M34" s="309"/>
    </row>
    <row r="35" spans="1:13" ht="21" x14ac:dyDescent="0.35">
      <c r="A35" s="673" t="s">
        <v>431</v>
      </c>
      <c r="B35" s="674"/>
      <c r="C35" s="675"/>
      <c r="D35" s="676"/>
      <c r="E35" s="677"/>
      <c r="F35" s="678"/>
      <c r="G35" s="679">
        <f>'2022 Approved'!C108</f>
        <v>66696</v>
      </c>
      <c r="H35" s="677">
        <f t="shared" ref="H35:L35" si="15">3.5*1446*12</f>
        <v>60732</v>
      </c>
      <c r="I35" s="675">
        <f t="shared" si="15"/>
        <v>60732</v>
      </c>
      <c r="J35" s="675">
        <f t="shared" si="15"/>
        <v>60732</v>
      </c>
      <c r="K35" s="675">
        <f t="shared" si="15"/>
        <v>60732</v>
      </c>
      <c r="L35" s="675">
        <f t="shared" si="15"/>
        <v>60732</v>
      </c>
      <c r="M35" s="309"/>
    </row>
    <row r="36" spans="1:13" ht="21" x14ac:dyDescent="0.35">
      <c r="A36" s="673" t="s">
        <v>437</v>
      </c>
      <c r="B36" s="668"/>
      <c r="C36" s="680"/>
      <c r="D36" s="680"/>
      <c r="E36" s="681">
        <f>Allocation!F36*Allocation!F35*12</f>
        <v>543168</v>
      </c>
      <c r="F36" s="682">
        <f>Allocation!G35*Allocation!G36*12</f>
        <v>543168</v>
      </c>
      <c r="G36" s="683">
        <f>'2022 Approved'!C110</f>
        <v>360253.8</v>
      </c>
      <c r="H36" s="681">
        <f>Allocation!I35*Allocation!I36*12</f>
        <v>543168</v>
      </c>
      <c r="I36" s="680">
        <f>Allocation!J35*Allocation!J36*12</f>
        <v>543168</v>
      </c>
      <c r="J36" s="680">
        <f>Allocation!K35*Allocation!K36*12</f>
        <v>543168</v>
      </c>
      <c r="K36" s="680">
        <f>Allocation!L35*Allocation!L36*12</f>
        <v>543168</v>
      </c>
      <c r="L36" s="680">
        <f>Allocation!M35*Allocation!M36*12</f>
        <v>543168</v>
      </c>
      <c r="M36" s="309"/>
    </row>
    <row r="37" spans="1:13" ht="21" x14ac:dyDescent="0.35">
      <c r="A37" s="673" t="s">
        <v>444</v>
      </c>
      <c r="B37" s="674"/>
      <c r="C37" s="675"/>
      <c r="D37" s="676"/>
      <c r="E37" s="677">
        <f>'2022 Approved'!C111</f>
        <v>46515.600000000006</v>
      </c>
      <c r="F37" s="678">
        <f>'2022 Approved'!C111</f>
        <v>46515.600000000006</v>
      </c>
      <c r="G37" s="679">
        <f>'2022 Approved'!C111</f>
        <v>46515.600000000006</v>
      </c>
      <c r="H37" s="677">
        <f>'2022 Approved'!C111</f>
        <v>46515.600000000006</v>
      </c>
      <c r="I37" s="675">
        <f>'2022 Approved'!C111</f>
        <v>46515.600000000006</v>
      </c>
      <c r="J37" s="675"/>
      <c r="K37" s="675"/>
      <c r="L37" s="675"/>
      <c r="M37" s="309"/>
    </row>
    <row r="38" spans="1:13" ht="21" x14ac:dyDescent="0.35">
      <c r="A38" s="667" t="s">
        <v>292</v>
      </c>
      <c r="B38" s="684"/>
      <c r="C38" s="685"/>
      <c r="D38" s="685"/>
      <c r="E38" s="686">
        <f>SUM(E31:E37)</f>
        <v>797239.6</v>
      </c>
      <c r="F38" s="687">
        <f>SUM(F31:F37)</f>
        <v>796343.6</v>
      </c>
      <c r="G38" s="688" t="e">
        <f>SUM(G32:G37)</f>
        <v>#REF!</v>
      </c>
      <c r="H38" s="686" t="e">
        <f>SUM(H32:H37)</f>
        <v>#REF!</v>
      </c>
      <c r="I38" s="685" t="e">
        <f>SUM(I32:I37)</f>
        <v>#REF!</v>
      </c>
      <c r="J38" s="685" t="e">
        <f>SUM(J31:J37)</f>
        <v>#REF!</v>
      </c>
      <c r="K38" s="685" t="e">
        <f>SUM(K31:K37)</f>
        <v>#REF!</v>
      </c>
      <c r="L38" s="685" t="e">
        <f>SUM(L31:L37)</f>
        <v>#REF!</v>
      </c>
      <c r="M38" s="309"/>
    </row>
    <row r="39" spans="1:13" ht="21" x14ac:dyDescent="0.35">
      <c r="A39" s="607"/>
      <c r="B39" s="608"/>
      <c r="C39" s="609"/>
      <c r="D39" s="609"/>
      <c r="E39" s="610"/>
      <c r="F39" s="611"/>
      <c r="G39" s="612"/>
      <c r="H39" s="610"/>
      <c r="I39" s="609"/>
      <c r="J39" s="609"/>
      <c r="K39" s="609"/>
      <c r="L39" s="609"/>
      <c r="M39" s="309"/>
    </row>
    <row r="40" spans="1:13" ht="21" x14ac:dyDescent="0.35">
      <c r="A40" s="613" t="s">
        <v>294</v>
      </c>
      <c r="B40" s="614"/>
      <c r="C40" s="615"/>
      <c r="D40" s="616"/>
      <c r="E40" s="617">
        <f>E23+E29+E38</f>
        <v>785071.6</v>
      </c>
      <c r="F40" s="618" t="e">
        <f>F23+F29+F38</f>
        <v>#REF!</v>
      </c>
      <c r="G40" s="619" t="e">
        <f>G23+G29+G38</f>
        <v>#REF!</v>
      </c>
      <c r="H40" s="620" t="e">
        <f t="shared" ref="H40:L40" si="16">H23+H29+H38</f>
        <v>#REF!</v>
      </c>
      <c r="I40" s="615" t="e">
        <f t="shared" si="16"/>
        <v>#REF!</v>
      </c>
      <c r="J40" s="615" t="e">
        <f t="shared" si="16"/>
        <v>#REF!</v>
      </c>
      <c r="K40" s="615" t="e">
        <f t="shared" si="16"/>
        <v>#REF!</v>
      </c>
      <c r="L40" s="621" t="e">
        <f t="shared" si="16"/>
        <v>#REF!</v>
      </c>
      <c r="M40" s="309"/>
    </row>
    <row r="41" spans="1:13" ht="21" x14ac:dyDescent="0.35">
      <c r="A41" s="689" t="s">
        <v>293</v>
      </c>
      <c r="B41" s="690"/>
      <c r="C41" s="691"/>
      <c r="D41" s="691"/>
      <c r="E41" s="692">
        <f>'Existing Debt'!AC38</f>
        <v>-546594</v>
      </c>
      <c r="F41" s="693">
        <f>-(29000+128774+46545.23+40638.95+46401.42+43234.25+49269.37+43547.95+45185.68)</f>
        <v>-472596.85</v>
      </c>
      <c r="G41" s="694">
        <v>-495113.8</v>
      </c>
      <c r="H41" s="695">
        <v>-498117.11</v>
      </c>
      <c r="I41" s="696">
        <v>-493846.69</v>
      </c>
      <c r="J41" s="696">
        <v>-494654.3</v>
      </c>
      <c r="K41" s="696">
        <v>-493188.4</v>
      </c>
      <c r="L41" s="696">
        <v>-494295</v>
      </c>
      <c r="M41" s="309"/>
    </row>
    <row r="42" spans="1:13" ht="21" x14ac:dyDescent="0.35">
      <c r="A42" s="613"/>
      <c r="B42" s="614"/>
      <c r="C42" s="609"/>
      <c r="D42" s="609"/>
      <c r="E42" s="610"/>
      <c r="F42" s="611"/>
      <c r="G42" s="612"/>
      <c r="H42" s="610"/>
      <c r="I42" s="609"/>
      <c r="J42" s="609"/>
      <c r="K42" s="609"/>
      <c r="L42" s="609"/>
      <c r="M42" s="309"/>
    </row>
    <row r="43" spans="1:13" ht="21" x14ac:dyDescent="0.35">
      <c r="A43" s="689" t="s">
        <v>295</v>
      </c>
      <c r="B43" s="697"/>
      <c r="C43" s="696"/>
      <c r="D43" s="696"/>
      <c r="E43" s="695"/>
      <c r="F43" s="693"/>
      <c r="G43" s="698"/>
      <c r="H43" s="695"/>
      <c r="I43" s="696"/>
      <c r="J43" s="696"/>
      <c r="K43" s="696"/>
      <c r="L43" s="696"/>
      <c r="M43" s="309"/>
    </row>
    <row r="44" spans="1:13" ht="21" x14ac:dyDescent="0.35">
      <c r="A44" s="699" t="s">
        <v>296</v>
      </c>
      <c r="B44" s="697"/>
      <c r="C44" s="700"/>
      <c r="D44" s="700"/>
      <c r="E44" s="701">
        <f>-'Existing Debt'!F31</f>
        <v>-146665.75</v>
      </c>
      <c r="F44" s="702"/>
      <c r="G44" s="703">
        <v>0</v>
      </c>
      <c r="H44" s="701">
        <v>0</v>
      </c>
      <c r="I44" s="700">
        <v>0</v>
      </c>
      <c r="J44" s="700">
        <v>0</v>
      </c>
      <c r="K44" s="700">
        <v>0</v>
      </c>
      <c r="L44" s="700">
        <f>'[1]Existing Debt'!AF36</f>
        <v>0</v>
      </c>
      <c r="M44" s="309"/>
    </row>
    <row r="45" spans="1:13" ht="21" x14ac:dyDescent="0.35">
      <c r="A45" s="699" t="s">
        <v>297</v>
      </c>
      <c r="B45" s="697"/>
      <c r="C45" s="696"/>
      <c r="D45" s="696"/>
      <c r="E45" s="695">
        <f>'Existing Debt'!AC37</f>
        <v>-59796.800000000003</v>
      </c>
      <c r="F45" s="693">
        <f>'Existing Debt'!AD37</f>
        <v>-59881.600000000006</v>
      </c>
      <c r="G45" s="698">
        <f>'Existing Debt'!AE37</f>
        <v>-59948.800000000003</v>
      </c>
      <c r="H45" s="695">
        <f>'Existing Debt'!AF37</f>
        <v>-59998.399999999994</v>
      </c>
      <c r="I45" s="696">
        <f>'Existing Debt'!AG37</f>
        <v>-60030.399999999994</v>
      </c>
      <c r="J45" s="696">
        <f>'Existing Debt'!AH37</f>
        <v>-60044.800000000003</v>
      </c>
      <c r="K45" s="696">
        <f>'Existing Debt'!AI37</f>
        <v>-59041.600000000006</v>
      </c>
      <c r="L45" s="696">
        <f>-'Debt Service 2'!N21</f>
        <v>-60038.400000000001</v>
      </c>
      <c r="M45" s="309"/>
    </row>
    <row r="46" spans="1:13" ht="21" x14ac:dyDescent="0.35">
      <c r="A46" s="699" t="s">
        <v>298</v>
      </c>
      <c r="B46" s="697"/>
      <c r="C46" s="696"/>
      <c r="D46" s="696"/>
      <c r="E46" s="695">
        <f>-'Existing Debt'!L49</f>
        <v>-45914.5</v>
      </c>
      <c r="F46" s="693">
        <f>-'Debt Service 2'!R15</f>
        <v>-46707</v>
      </c>
      <c r="G46" s="698">
        <f>-'Debt Service 2'!R16</f>
        <v>-46321.9</v>
      </c>
      <c r="H46" s="695">
        <f>-'Debt Service 2'!R17</f>
        <v>-46801.5</v>
      </c>
      <c r="I46" s="696">
        <f>-'Debt Service 2'!R18</f>
        <v>-46112.5</v>
      </c>
      <c r="J46" s="696">
        <f>-'Debt Service 2'!R19</f>
        <v>-45863.199999999997</v>
      </c>
      <c r="K46" s="696">
        <f>-'Debt Service 2'!R20</f>
        <v>-46573.599999999999</v>
      </c>
      <c r="L46" s="696">
        <f>-'Debt Service 2'!R21</f>
        <v>-46203.4</v>
      </c>
      <c r="M46" s="309"/>
    </row>
    <row r="47" spans="1:13" ht="21" x14ac:dyDescent="0.35">
      <c r="A47" s="699" t="s">
        <v>432</v>
      </c>
      <c r="B47" s="697"/>
      <c r="C47" s="696"/>
      <c r="D47" s="696"/>
      <c r="E47" s="695"/>
      <c r="F47" s="702"/>
      <c r="G47" s="703"/>
      <c r="H47" s="701"/>
      <c r="I47" s="700"/>
      <c r="J47" s="700"/>
      <c r="K47" s="700"/>
      <c r="L47" s="700"/>
      <c r="M47" s="309"/>
    </row>
    <row r="48" spans="1:13" ht="21" x14ac:dyDescent="0.35">
      <c r="A48" s="689" t="s">
        <v>433</v>
      </c>
      <c r="B48" s="690"/>
      <c r="C48" s="700"/>
      <c r="D48" s="700"/>
      <c r="E48" s="701">
        <f>SUM(E41:E47)</f>
        <v>-798971.05</v>
      </c>
      <c r="F48" s="701">
        <f t="shared" ref="F48:L48" si="17">SUM(F41:F47)</f>
        <v>-579185.44999999995</v>
      </c>
      <c r="G48" s="701">
        <f t="shared" si="17"/>
        <v>-601384.5</v>
      </c>
      <c r="H48" s="701">
        <f t="shared" si="17"/>
        <v>-604917.01</v>
      </c>
      <c r="I48" s="701">
        <f t="shared" si="17"/>
        <v>-599989.59</v>
      </c>
      <c r="J48" s="701">
        <f t="shared" si="17"/>
        <v>-600562.29999999993</v>
      </c>
      <c r="K48" s="701">
        <f t="shared" si="17"/>
        <v>-598803.6</v>
      </c>
      <c r="L48" s="701">
        <f t="shared" si="17"/>
        <v>-600536.80000000005</v>
      </c>
      <c r="M48" s="309"/>
    </row>
    <row r="49" spans="1:15" ht="21" x14ac:dyDescent="0.35">
      <c r="A49" s="704" t="s">
        <v>434</v>
      </c>
      <c r="B49" s="705"/>
      <c r="C49" s="706"/>
      <c r="D49" s="706"/>
      <c r="E49" s="707">
        <f t="shared" ref="E49:F49" si="18">E40/-E48</f>
        <v>0.98260331209747831</v>
      </c>
      <c r="F49" s="706" t="e">
        <f t="shared" si="18"/>
        <v>#REF!</v>
      </c>
      <c r="G49" s="706" t="e">
        <f>G40/-G48</f>
        <v>#REF!</v>
      </c>
      <c r="H49" s="706" t="e">
        <f t="shared" ref="H49:L49" si="19">H40/-H48</f>
        <v>#REF!</v>
      </c>
      <c r="I49" s="706" t="e">
        <f t="shared" si="19"/>
        <v>#REF!</v>
      </c>
      <c r="J49" s="706" t="e">
        <f t="shared" si="19"/>
        <v>#REF!</v>
      </c>
      <c r="K49" s="706" t="e">
        <f t="shared" si="19"/>
        <v>#REF!</v>
      </c>
      <c r="L49" s="708" t="e">
        <f t="shared" si="19"/>
        <v>#REF!</v>
      </c>
      <c r="M49" s="309"/>
    </row>
    <row r="50" spans="1:15" ht="21" x14ac:dyDescent="0.35">
      <c r="A50" s="607"/>
      <c r="B50" s="608"/>
      <c r="C50" s="609"/>
      <c r="D50" s="609"/>
      <c r="E50" s="610"/>
      <c r="F50" s="611"/>
      <c r="G50" s="612"/>
      <c r="H50" s="610"/>
      <c r="I50" s="609"/>
      <c r="J50" s="609"/>
      <c r="K50" s="609"/>
      <c r="L50" s="609"/>
      <c r="M50" s="309"/>
    </row>
    <row r="51" spans="1:15" ht="21" x14ac:dyDescent="0.35">
      <c r="A51" s="613" t="s">
        <v>299</v>
      </c>
      <c r="B51" s="622"/>
      <c r="C51" s="623"/>
      <c r="D51" s="623"/>
      <c r="E51" s="624">
        <f t="shared" ref="E51:F51" si="20">E40+E48</f>
        <v>-13899.45000000007</v>
      </c>
      <c r="F51" s="624" t="e">
        <f t="shared" si="20"/>
        <v>#REF!</v>
      </c>
      <c r="G51" s="624" t="e">
        <f>G40+G48</f>
        <v>#REF!</v>
      </c>
      <c r="H51" s="625" t="e">
        <f t="shared" ref="H51:L51" si="21">H40+H45+H46</f>
        <v>#REF!</v>
      </c>
      <c r="I51" s="623" t="e">
        <f t="shared" si="21"/>
        <v>#REF!</v>
      </c>
      <c r="J51" s="623" t="e">
        <f t="shared" si="21"/>
        <v>#REF!</v>
      </c>
      <c r="K51" s="623" t="e">
        <f t="shared" si="21"/>
        <v>#REF!</v>
      </c>
      <c r="L51" s="623" t="e">
        <f t="shared" si="21"/>
        <v>#REF!</v>
      </c>
      <c r="M51" s="309"/>
    </row>
    <row r="52" spans="1:15" ht="21" x14ac:dyDescent="0.35">
      <c r="A52" s="607"/>
      <c r="B52" s="608"/>
      <c r="C52" s="609"/>
      <c r="D52" s="609"/>
      <c r="E52" s="610"/>
      <c r="F52" s="611"/>
      <c r="G52" s="612"/>
      <c r="H52" s="610"/>
      <c r="I52" s="609"/>
      <c r="J52" s="609"/>
      <c r="K52" s="609"/>
      <c r="L52" s="609"/>
      <c r="M52" s="309"/>
      <c r="O52" s="536"/>
    </row>
    <row r="53" spans="1:15" ht="21" x14ac:dyDescent="0.35">
      <c r="A53" s="709" t="s">
        <v>435</v>
      </c>
      <c r="B53" s="710"/>
      <c r="C53" s="711"/>
      <c r="D53" s="711"/>
      <c r="E53" s="712"/>
      <c r="F53" s="713"/>
      <c r="G53" s="714"/>
      <c r="H53" s="712"/>
      <c r="I53" s="711"/>
      <c r="J53" s="711"/>
      <c r="K53" s="711"/>
      <c r="L53" s="711"/>
      <c r="M53" s="309"/>
    </row>
    <row r="54" spans="1:15" ht="21" x14ac:dyDescent="0.35">
      <c r="A54" s="715" t="s">
        <v>252</v>
      </c>
      <c r="B54" s="710"/>
      <c r="C54" s="711"/>
      <c r="D54" s="711"/>
      <c r="E54" s="712"/>
      <c r="F54" s="713"/>
      <c r="G54" s="714"/>
      <c r="H54" s="712"/>
      <c r="I54" s="711"/>
      <c r="J54" s="711"/>
      <c r="K54" s="711"/>
      <c r="L54" s="711"/>
      <c r="M54" s="309"/>
    </row>
    <row r="55" spans="1:15" ht="21" x14ac:dyDescent="0.35">
      <c r="A55" s="715" t="s">
        <v>253</v>
      </c>
      <c r="B55" s="716"/>
      <c r="C55" s="717"/>
      <c r="D55" s="717">
        <v>0</v>
      </c>
      <c r="E55" s="718"/>
      <c r="F55" s="719"/>
      <c r="G55" s="720"/>
      <c r="H55" s="718"/>
      <c r="I55" s="717"/>
      <c r="J55" s="717"/>
      <c r="K55" s="717"/>
      <c r="L55" s="717"/>
      <c r="M55" s="309"/>
    </row>
    <row r="56" spans="1:15" ht="21" x14ac:dyDescent="0.35">
      <c r="A56" s="715" t="s">
        <v>300</v>
      </c>
      <c r="B56" s="716"/>
      <c r="C56" s="717"/>
      <c r="D56" s="717"/>
      <c r="E56" s="718"/>
      <c r="F56" s="719"/>
      <c r="G56" s="720"/>
      <c r="H56" s="718">
        <v>-62485</v>
      </c>
      <c r="I56" s="717">
        <v>-127485</v>
      </c>
      <c r="J56" s="717">
        <v>-192485</v>
      </c>
      <c r="K56" s="717"/>
      <c r="L56" s="717"/>
      <c r="M56" s="309"/>
    </row>
    <row r="57" spans="1:15" ht="21" x14ac:dyDescent="0.35">
      <c r="A57" s="715" t="s">
        <v>301</v>
      </c>
      <c r="B57" s="716"/>
      <c r="C57" s="717"/>
      <c r="D57" s="717"/>
      <c r="E57" s="718"/>
      <c r="F57" s="719"/>
      <c r="G57" s="720"/>
      <c r="H57" s="718"/>
      <c r="I57" s="717"/>
      <c r="J57" s="717"/>
      <c r="K57" s="717">
        <v>-86946</v>
      </c>
      <c r="L57" s="717">
        <v>-86946</v>
      </c>
      <c r="M57" s="309"/>
    </row>
    <row r="58" spans="1:15" ht="21" x14ac:dyDescent="0.35">
      <c r="A58" s="715" t="s">
        <v>302</v>
      </c>
      <c r="B58" s="716"/>
      <c r="C58" s="717"/>
      <c r="D58" s="717"/>
      <c r="E58" s="718"/>
      <c r="F58" s="719"/>
      <c r="G58" s="720"/>
      <c r="H58" s="718"/>
      <c r="I58" s="717"/>
      <c r="J58" s="717"/>
      <c r="K58" s="717"/>
      <c r="L58" s="717"/>
      <c r="M58" s="309"/>
    </row>
    <row r="59" spans="1:15" ht="21" x14ac:dyDescent="0.35">
      <c r="A59" s="715"/>
      <c r="B59" s="716"/>
      <c r="C59" s="717"/>
      <c r="D59" s="717"/>
      <c r="E59" s="718"/>
      <c r="F59" s="719"/>
      <c r="G59" s="720"/>
      <c r="H59" s="718"/>
      <c r="I59" s="717"/>
      <c r="J59" s="717"/>
      <c r="K59" s="717"/>
      <c r="L59" s="717"/>
      <c r="M59" s="309"/>
    </row>
    <row r="60" spans="1:15" ht="21" x14ac:dyDescent="0.35">
      <c r="A60" s="715" t="s">
        <v>257</v>
      </c>
      <c r="B60" s="716"/>
      <c r="C60" s="721"/>
      <c r="D60" s="721">
        <f>C60-25000</f>
        <v>-25000</v>
      </c>
      <c r="E60" s="722">
        <f>D60*1.05</f>
        <v>-26250</v>
      </c>
      <c r="F60" s="723">
        <f>E60*1.05</f>
        <v>-27562.5</v>
      </c>
      <c r="G60" s="724">
        <f>F60*1.05</f>
        <v>-28940.625</v>
      </c>
      <c r="H60" s="722">
        <f t="shared" ref="H60:L60" si="22">G60*1.05</f>
        <v>-30387.65625</v>
      </c>
      <c r="I60" s="721">
        <f t="shared" si="22"/>
        <v>-31907.0390625</v>
      </c>
      <c r="J60" s="721">
        <f t="shared" si="22"/>
        <v>-33502.391015624999</v>
      </c>
      <c r="K60" s="721">
        <f t="shared" si="22"/>
        <v>-35177.51056640625</v>
      </c>
      <c r="L60" s="721">
        <f t="shared" si="22"/>
        <v>-36936.386094726564</v>
      </c>
      <c r="M60" s="309"/>
    </row>
    <row r="61" spans="1:15" ht="21" x14ac:dyDescent="0.35">
      <c r="A61" s="626" t="s">
        <v>436</v>
      </c>
      <c r="B61" s="627">
        <f t="shared" ref="B61:J61" si="23">SUM(B55:B60)</f>
        <v>0</v>
      </c>
      <c r="C61" s="628"/>
      <c r="D61" s="628">
        <f t="shared" si="23"/>
        <v>-25000</v>
      </c>
      <c r="E61" s="629">
        <f>SUM(E55:E60)</f>
        <v>-26250</v>
      </c>
      <c r="F61" s="630">
        <f t="shared" si="23"/>
        <v>-27562.5</v>
      </c>
      <c r="G61" s="631">
        <f t="shared" si="23"/>
        <v>-28940.625</v>
      </c>
      <c r="H61" s="629">
        <f t="shared" si="23"/>
        <v>-92872.65625</v>
      </c>
      <c r="I61" s="628">
        <f t="shared" si="23"/>
        <v>-159392.0390625</v>
      </c>
      <c r="J61" s="628">
        <f t="shared" si="23"/>
        <v>-225987.39101562501</v>
      </c>
      <c r="K61" s="628">
        <f>SUM(K55:K60)</f>
        <v>-122123.51056640624</v>
      </c>
      <c r="L61" s="628">
        <f>SUM(L55:L60)</f>
        <v>-123882.38609472656</v>
      </c>
      <c r="M61" s="309"/>
    </row>
    <row r="62" spans="1:15" ht="21" x14ac:dyDescent="0.35">
      <c r="A62" s="632"/>
      <c r="B62" s="614"/>
      <c r="C62" s="609"/>
      <c r="D62" s="609"/>
      <c r="E62" s="610"/>
      <c r="F62" s="611"/>
      <c r="G62" s="612"/>
      <c r="H62" s="610"/>
      <c r="I62" s="609"/>
      <c r="J62" s="609"/>
      <c r="K62" s="609"/>
      <c r="L62" s="609"/>
      <c r="M62" s="309"/>
    </row>
    <row r="63" spans="1:15" ht="21" x14ac:dyDescent="0.35">
      <c r="A63" s="633" t="s">
        <v>303</v>
      </c>
      <c r="B63" s="634"/>
      <c r="C63" s="635"/>
      <c r="D63" s="635">
        <f t="shared" ref="D63:L63" si="24">D51+D61</f>
        <v>-25000</v>
      </c>
      <c r="E63" s="635">
        <f t="shared" si="24"/>
        <v>-40149.45000000007</v>
      </c>
      <c r="F63" s="636" t="e">
        <f t="shared" si="24"/>
        <v>#REF!</v>
      </c>
      <c r="G63" s="637" t="e">
        <f t="shared" si="24"/>
        <v>#REF!</v>
      </c>
      <c r="H63" s="638" t="e">
        <f t="shared" si="24"/>
        <v>#REF!</v>
      </c>
      <c r="I63" s="635" t="e">
        <f t="shared" si="24"/>
        <v>#REF!</v>
      </c>
      <c r="J63" s="635" t="e">
        <f t="shared" si="24"/>
        <v>#REF!</v>
      </c>
      <c r="K63" s="635" t="e">
        <f t="shared" si="24"/>
        <v>#REF!</v>
      </c>
      <c r="L63" s="635" t="e">
        <f t="shared" si="24"/>
        <v>#REF!</v>
      </c>
      <c r="M63" s="309"/>
    </row>
    <row r="64" spans="1:15" ht="21" x14ac:dyDescent="0.35">
      <c r="A64" s="633"/>
      <c r="B64" s="634"/>
      <c r="C64" s="635"/>
      <c r="D64" s="635"/>
      <c r="E64" s="638"/>
      <c r="F64" s="636"/>
      <c r="G64" s="637"/>
      <c r="H64" s="638"/>
      <c r="I64" s="635"/>
      <c r="J64" s="635"/>
      <c r="K64" s="635"/>
      <c r="L64" s="635"/>
      <c r="M64" s="309"/>
    </row>
    <row r="65" spans="1:13" ht="21" x14ac:dyDescent="0.35">
      <c r="A65" s="633" t="s">
        <v>304</v>
      </c>
      <c r="B65" s="634"/>
      <c r="C65" s="635"/>
      <c r="D65" s="635">
        <f t="shared" ref="D65:L65" si="25">D63+D14</f>
        <v>125000</v>
      </c>
      <c r="E65" s="635">
        <f t="shared" si="25"/>
        <v>-177069.45000000007</v>
      </c>
      <c r="F65" s="636" t="e">
        <f t="shared" si="25"/>
        <v>#REF!</v>
      </c>
      <c r="G65" s="637" t="e">
        <f t="shared" si="25"/>
        <v>#REF!</v>
      </c>
      <c r="H65" s="638" t="e">
        <f t="shared" si="25"/>
        <v>#REF!</v>
      </c>
      <c r="I65" s="635" t="e">
        <f t="shared" si="25"/>
        <v>#REF!</v>
      </c>
      <c r="J65" s="635" t="e">
        <f t="shared" si="25"/>
        <v>#REF!</v>
      </c>
      <c r="K65" s="635" t="e">
        <f t="shared" si="25"/>
        <v>#REF!</v>
      </c>
      <c r="L65" s="635" t="e">
        <f t="shared" si="25"/>
        <v>#REF!</v>
      </c>
      <c r="M65" s="309"/>
    </row>
    <row r="66" spans="1:13" ht="21.75" thickBot="1" x14ac:dyDescent="0.4">
      <c r="A66" s="543"/>
      <c r="B66" s="544"/>
      <c r="C66" s="579"/>
      <c r="D66" s="579"/>
      <c r="E66" s="580"/>
      <c r="F66" s="581"/>
      <c r="G66" s="582"/>
      <c r="H66" s="580"/>
      <c r="I66" s="580"/>
      <c r="J66" s="580"/>
      <c r="K66" s="580"/>
      <c r="L66" s="583"/>
      <c r="M66" s="309"/>
    </row>
    <row r="67" spans="1:13" ht="21" x14ac:dyDescent="0.35">
      <c r="A67" s="551"/>
      <c r="B67" s="552"/>
      <c r="C67" s="584"/>
      <c r="D67" s="584"/>
      <c r="E67" s="584"/>
      <c r="F67" s="584"/>
      <c r="G67" s="584"/>
      <c r="H67" s="584"/>
      <c r="I67" s="584"/>
      <c r="J67" s="584"/>
      <c r="K67" s="584"/>
      <c r="L67" s="584"/>
      <c r="M67" s="309"/>
    </row>
    <row r="68" spans="1:13" ht="21" x14ac:dyDescent="0.35">
      <c r="A68" s="551"/>
      <c r="B68" s="552"/>
      <c r="C68" s="584"/>
      <c r="D68" s="584"/>
      <c r="E68" s="584"/>
      <c r="F68" s="584"/>
      <c r="G68" s="584"/>
      <c r="H68" s="584"/>
      <c r="I68" s="584"/>
      <c r="J68" s="584"/>
      <c r="K68" s="584"/>
      <c r="L68" s="584"/>
      <c r="M68" s="309"/>
    </row>
    <row r="69" spans="1:13" ht="21" x14ac:dyDescent="0.35">
      <c r="A69" s="310"/>
      <c r="B69" s="311"/>
      <c r="C69" s="585"/>
      <c r="D69" s="586"/>
      <c r="E69" s="585"/>
      <c r="F69" s="585"/>
      <c r="G69" s="585"/>
      <c r="H69" s="585"/>
      <c r="I69" s="585"/>
      <c r="J69" s="585"/>
      <c r="K69" s="585"/>
      <c r="L69" s="585"/>
      <c r="M69" s="309"/>
    </row>
    <row r="70" spans="1:13" ht="21" x14ac:dyDescent="0.35">
      <c r="A70" s="727" t="s">
        <v>305</v>
      </c>
      <c r="B70" s="728"/>
      <c r="C70" s="585"/>
      <c r="D70" s="586"/>
      <c r="E70" s="585"/>
      <c r="F70" s="585"/>
      <c r="G70" s="585"/>
      <c r="H70" s="585"/>
      <c r="I70" s="585"/>
      <c r="J70" s="585"/>
      <c r="K70" s="585"/>
      <c r="L70" s="585"/>
      <c r="M70" s="309"/>
    </row>
    <row r="71" spans="1:13" ht="23.25" x14ac:dyDescent="0.35">
      <c r="A71" s="729" t="s">
        <v>459</v>
      </c>
      <c r="B71" s="728"/>
      <c r="C71" s="585"/>
      <c r="D71" s="586"/>
      <c r="E71" s="585"/>
      <c r="F71" s="585"/>
      <c r="G71" s="585"/>
      <c r="H71" s="585"/>
      <c r="I71" s="585"/>
      <c r="J71" s="585"/>
      <c r="K71" s="585"/>
      <c r="L71" s="585"/>
      <c r="M71" s="309"/>
    </row>
    <row r="72" spans="1:13" ht="23.25" x14ac:dyDescent="0.35">
      <c r="A72" s="729" t="s">
        <v>460</v>
      </c>
      <c r="B72" s="728"/>
      <c r="C72" s="585"/>
      <c r="D72" s="585"/>
      <c r="E72" s="585"/>
      <c r="F72" s="585"/>
      <c r="G72" s="585"/>
      <c r="H72" s="585"/>
      <c r="I72" s="585"/>
      <c r="J72" s="585"/>
      <c r="K72" s="585"/>
      <c r="L72" s="585"/>
      <c r="M72" s="309"/>
    </row>
    <row r="73" spans="1:13" ht="23.25" x14ac:dyDescent="0.35">
      <c r="A73" s="729" t="s">
        <v>461</v>
      </c>
      <c r="B73" s="585"/>
      <c r="C73" s="585"/>
      <c r="D73" s="585"/>
      <c r="E73" s="585"/>
      <c r="F73" s="585"/>
      <c r="G73" s="585"/>
      <c r="H73" s="585"/>
      <c r="I73" s="585"/>
      <c r="J73" s="585"/>
      <c r="K73" s="585"/>
      <c r="L73" s="585"/>
      <c r="M73" s="309"/>
    </row>
    <row r="74" spans="1:13" ht="21" x14ac:dyDescent="0.35">
      <c r="A74" s="730" t="s">
        <v>427</v>
      </c>
      <c r="B74" s="585"/>
      <c r="C74" s="585"/>
      <c r="D74" s="585"/>
      <c r="E74" s="585"/>
      <c r="F74" s="585"/>
      <c r="G74" s="585"/>
      <c r="H74" s="585"/>
      <c r="I74" s="585"/>
      <c r="J74" s="585"/>
      <c r="K74" s="585"/>
      <c r="L74" s="585"/>
      <c r="M74" s="309"/>
    </row>
    <row r="75" spans="1:13" ht="21" x14ac:dyDescent="0.35">
      <c r="A75" s="730" t="s">
        <v>455</v>
      </c>
      <c r="B75" s="728"/>
      <c r="C75" s="585"/>
      <c r="D75" s="585"/>
      <c r="E75" s="585"/>
      <c r="F75" s="585"/>
      <c r="G75" s="585"/>
      <c r="H75" s="585"/>
      <c r="I75" s="585"/>
      <c r="J75" s="585"/>
      <c r="K75" s="585"/>
      <c r="L75" s="585"/>
      <c r="M75" s="309"/>
    </row>
    <row r="76" spans="1:13" ht="21" x14ac:dyDescent="0.35">
      <c r="A76" s="585"/>
      <c r="B76" s="728"/>
      <c r="C76" s="585"/>
      <c r="D76" s="585"/>
      <c r="E76" s="585"/>
      <c r="F76" s="585"/>
      <c r="G76" s="585"/>
      <c r="H76" s="585"/>
      <c r="I76" s="585"/>
      <c r="J76" s="585"/>
      <c r="K76" s="585"/>
      <c r="L76" s="585"/>
      <c r="M76" s="309"/>
    </row>
    <row r="77" spans="1:13" ht="21" x14ac:dyDescent="0.35">
      <c r="A77" s="731" t="s">
        <v>306</v>
      </c>
      <c r="B77" s="728"/>
      <c r="C77" s="585"/>
      <c r="D77" s="732"/>
      <c r="E77" s="585"/>
      <c r="F77" s="585"/>
      <c r="G77" s="585"/>
      <c r="H77" s="585"/>
      <c r="I77" s="585"/>
      <c r="J77" s="585"/>
      <c r="K77" s="585"/>
      <c r="L77" s="585"/>
      <c r="M77" s="309"/>
    </row>
    <row r="78" spans="1:13" ht="21" x14ac:dyDescent="0.35">
      <c r="A78" s="729" t="s">
        <v>307</v>
      </c>
      <c r="B78" s="728"/>
      <c r="C78" s="585"/>
      <c r="D78" s="585"/>
      <c r="E78" s="585"/>
      <c r="F78" s="585"/>
      <c r="G78" s="733"/>
      <c r="H78" s="585"/>
      <c r="I78" s="585"/>
      <c r="J78" s="585"/>
      <c r="K78" s="585"/>
      <c r="L78" s="585"/>
      <c r="M78" s="309"/>
    </row>
    <row r="79" spans="1:13" ht="21" x14ac:dyDescent="0.35">
      <c r="A79" s="729" t="s">
        <v>456</v>
      </c>
      <c r="B79" s="728"/>
      <c r="C79" s="585"/>
      <c r="D79" s="585"/>
      <c r="E79" s="585"/>
      <c r="F79" s="585"/>
      <c r="G79" s="585"/>
      <c r="H79" s="585"/>
      <c r="I79" s="585"/>
      <c r="J79" s="585"/>
      <c r="K79" s="585"/>
      <c r="L79" s="585"/>
    </row>
    <row r="80" spans="1:13" ht="21" x14ac:dyDescent="0.35">
      <c r="A80" s="729" t="s">
        <v>457</v>
      </c>
      <c r="B80" s="728"/>
      <c r="C80" s="585"/>
      <c r="D80" s="585"/>
      <c r="E80" s="585"/>
      <c r="F80" s="585"/>
      <c r="G80" s="585"/>
      <c r="H80" s="585"/>
      <c r="I80" s="585"/>
      <c r="J80" s="585"/>
      <c r="K80" s="585"/>
      <c r="L80" s="585"/>
    </row>
    <row r="81" spans="1:12" ht="21" x14ac:dyDescent="0.35">
      <c r="A81" s="729" t="s">
        <v>309</v>
      </c>
      <c r="B81" s="728"/>
      <c r="C81" s="585"/>
      <c r="D81" s="585"/>
      <c r="E81" s="585"/>
      <c r="F81" s="585"/>
      <c r="G81" s="585"/>
      <c r="H81" s="585"/>
      <c r="I81" s="585"/>
      <c r="J81" s="585"/>
      <c r="K81" s="585"/>
      <c r="L81" s="585"/>
    </row>
    <row r="82" spans="1:12" ht="21" x14ac:dyDescent="0.35">
      <c r="A82" s="729"/>
      <c r="B82" s="728"/>
      <c r="C82" s="585"/>
      <c r="D82" s="585"/>
      <c r="E82" s="585"/>
      <c r="F82" s="585"/>
      <c r="G82" s="585"/>
      <c r="H82" s="585"/>
      <c r="I82" s="585"/>
      <c r="J82" s="585"/>
      <c r="K82" s="585"/>
      <c r="L82" s="585"/>
    </row>
    <row r="83" spans="1:12" ht="21" x14ac:dyDescent="0.35">
      <c r="A83" s="585"/>
      <c r="B83" s="728"/>
      <c r="C83" s="585"/>
      <c r="D83" s="585"/>
      <c r="E83" s="585"/>
      <c r="F83" s="585"/>
      <c r="G83" s="585"/>
      <c r="H83" s="585"/>
      <c r="I83" s="585"/>
      <c r="J83" s="585"/>
      <c r="K83" s="585"/>
      <c r="L83" s="585"/>
    </row>
    <row r="84" spans="1:12" ht="15.75" x14ac:dyDescent="0.25">
      <c r="A84" s="309"/>
      <c r="B84" s="309"/>
      <c r="C84" s="309"/>
      <c r="D84" s="309"/>
      <c r="E84" s="309"/>
      <c r="F84" s="309"/>
      <c r="G84" s="309"/>
      <c r="H84" s="309"/>
      <c r="I84" s="309"/>
      <c r="J84" s="309"/>
      <c r="K84" s="309"/>
      <c r="L84" s="309"/>
    </row>
  </sheetData>
  <pageMargins left="0.7" right="0.7" top="0.75" bottom="0.75" header="0.3" footer="0.3"/>
  <pageSetup paperSize="5" scale="43" fitToHeight="0" orientation="landscape" r:id="rId1"/>
  <headerFooter>
    <oddHeader xml:space="preserve">&amp;C&amp;"-,Bold"&amp;18 WATER DEBT SERVICE COVERAGE ANALYSIS -  Adjusted Rates to Increase with Projected 2019 Budget
</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4974C-A9CF-45D3-B37C-48B7BFCB1E1B}">
  <dimension ref="A1:M14"/>
  <sheetViews>
    <sheetView workbookViewId="0">
      <selection activeCell="A7" sqref="A7"/>
    </sheetView>
  </sheetViews>
  <sheetFormatPr defaultRowHeight="15" x14ac:dyDescent="0.25"/>
  <cols>
    <col min="1" max="1" width="10.5703125" customWidth="1"/>
    <col min="2" max="2" width="78.7109375" bestFit="1" customWidth="1"/>
    <col min="4" max="4" width="6.5703125" bestFit="1" customWidth="1"/>
    <col min="5" max="5" width="16" bestFit="1" customWidth="1"/>
    <col min="6" max="6" width="26" bestFit="1" customWidth="1"/>
    <col min="7" max="7" width="11" bestFit="1" customWidth="1"/>
    <col min="8" max="12" width="12.7109375" bestFit="1" customWidth="1"/>
    <col min="13" max="13" width="8.28515625" bestFit="1" customWidth="1"/>
  </cols>
  <sheetData>
    <row r="1" spans="1:13" ht="19.5" thickBot="1" x14ac:dyDescent="0.35">
      <c r="A1" s="297"/>
      <c r="B1" s="984" t="s">
        <v>264</v>
      </c>
      <c r="C1" s="984"/>
      <c r="D1" s="984"/>
      <c r="E1" s="301">
        <v>25000</v>
      </c>
      <c r="F1" s="302" t="s">
        <v>265</v>
      </c>
      <c r="G1" s="319" t="e">
        <f>'Rate Changes Summary'!F49</f>
        <v>#REF!</v>
      </c>
      <c r="H1" s="319" t="e">
        <f>'Rate Changes Summary'!G49</f>
        <v>#REF!</v>
      </c>
      <c r="I1" s="319" t="e">
        <f>'Rate Changes Summary'!H49</f>
        <v>#REF!</v>
      </c>
      <c r="J1" s="319" t="e">
        <f>'Rate Changes Summary'!I49</f>
        <v>#REF!</v>
      </c>
      <c r="K1" s="319" t="e">
        <f>'Rate Changes Summary'!J49</f>
        <v>#REF!</v>
      </c>
      <c r="L1" s="319" t="e">
        <f>'Rate Changes Summary'!K49</f>
        <v>#REF!</v>
      </c>
      <c r="M1" s="300"/>
    </row>
    <row r="2" spans="1:13" ht="21" x14ac:dyDescent="0.3">
      <c r="A2" s="300"/>
      <c r="B2" s="327" t="s">
        <v>266</v>
      </c>
      <c r="C2" s="327"/>
      <c r="D2" s="327"/>
      <c r="E2" s="303"/>
      <c r="F2" s="304"/>
      <c r="G2" s="304">
        <v>0.3</v>
      </c>
      <c r="H2" s="304">
        <v>0.1</v>
      </c>
      <c r="I2" s="304">
        <v>0.05</v>
      </c>
      <c r="J2" s="304">
        <v>2.5000000000000001E-2</v>
      </c>
      <c r="K2" s="304">
        <v>2.5000000000000001E-2</v>
      </c>
      <c r="L2" s="304">
        <v>2.5000000000000001E-2</v>
      </c>
      <c r="M2" s="305">
        <v>2.5000000000000001E-2</v>
      </c>
    </row>
    <row r="3" spans="1:13" ht="21" x14ac:dyDescent="0.3">
      <c r="A3" s="300"/>
      <c r="B3" s="327" t="s">
        <v>267</v>
      </c>
      <c r="C3" s="327"/>
      <c r="D3" s="327"/>
      <c r="E3" s="314"/>
      <c r="F3" s="315"/>
      <c r="G3" s="315">
        <f>(Sheet9!G8+Sheet9!G10+'Rate Changes Summary'!F36+Sheet9!G9+Sheet9!G7)/(Sheet9!F8+Sheet9!F10+'Rate Changes Summary'!E36+Sheet9!F9+Sheet9!F7)-1</f>
        <v>9.1974397634449145E-2</v>
      </c>
      <c r="H3" s="315">
        <f>(Sheet9!H8+Sheet9!H10+'Rate Changes Summary'!G36+Sheet9!H9+Sheet9!H7)/(Sheet9!G8+Sheet9!G10+'Rate Changes Summary'!F36+Sheet9!G9+Sheet9!G7)-1</f>
        <v>-7.5459005496900766E-2</v>
      </c>
      <c r="I3" s="315">
        <f>(Sheet9!I8+Sheet9!I10+'Rate Changes Summary'!H36+Sheet9!I9+Sheet9!I7)/(Sheet9!H8+Sheet9!H10+'Rate Changes Summary'!G36+Sheet9!H9+Sheet9!H7)-1</f>
        <v>0.16394532054944544</v>
      </c>
      <c r="J3" s="315">
        <f>(Sheet9!J8+Sheet9!J10+'Rate Changes Summary'!I36+Sheet9!J9+Sheet9!J7)/(Sheet9!I8+Sheet9!I10+'Rate Changes Summary'!H36+Sheet9!I9+Sheet9!I7)-1</f>
        <v>1.3176580876476329E-2</v>
      </c>
      <c r="K3" s="315">
        <f>(Sheet9!K8+Sheet9!K10+'Rate Changes Summary'!J36+Sheet9!K9+Sheet9!K7)/(Sheet9!J8+Sheet9!J10+'Rate Changes Summary'!I36+Sheet9!J9+Sheet9!J7)-1</f>
        <v>1.3330347002991738E-2</v>
      </c>
      <c r="L3" s="315">
        <f>(Sheet9!L8+Sheet9!L10+'Rate Changes Summary'!K36+Sheet9!L9+Sheet9!L7)/(Sheet9!K8+Sheet9!K10+'Rate Changes Summary'!J36+Sheet9!K9+Sheet9!K7)-1</f>
        <v>1.3483861130260122E-2</v>
      </c>
      <c r="M3" s="316" t="e">
        <f>('Rate Changes Summary'!#REF!+'Rate Changes Summary'!#REF!+'Rate Changes Summary'!L36+'Rate Changes Summary'!#REF!+'Rate Changes Summary'!#REF!)/(Sheet9!L8+Sheet9!L10+'Rate Changes Summary'!K36+Sheet9!L9+Sheet9!L7)-1</f>
        <v>#REF!</v>
      </c>
    </row>
    <row r="4" spans="1:13" ht="21" x14ac:dyDescent="0.3">
      <c r="A4" s="300"/>
      <c r="B4" s="327" t="s">
        <v>268</v>
      </c>
      <c r="C4" s="327"/>
      <c r="D4" s="327"/>
      <c r="E4" s="314"/>
      <c r="F4" s="315"/>
      <c r="G4" s="315">
        <f>(Sheet9!G8+Sheet9!G10+'Rate Changes Summary'!F36)/(Sheet9!F8+Sheet9!F10+'Rate Changes Summary'!E36)-1</f>
        <v>3.4303109832492185E-2</v>
      </c>
      <c r="H4" s="315">
        <f>(Sheet9!H8+Sheet9!H10+'Rate Changes Summary'!G36)/(Sheet9!G8+Sheet9!G10+'Rate Changes Summary'!F36)-1</f>
        <v>-0.13659740231117901</v>
      </c>
      <c r="I4" s="315">
        <f>(Sheet9!I8+Sheet9!I10+'Rate Changes Summary'!H36)/(Sheet9!H8+Sheet9!H10+'Rate Changes Summary'!G36)-1</f>
        <v>0.21452944200801149</v>
      </c>
      <c r="J4" s="315">
        <f>(Sheet9!J8+Sheet9!J10+'Rate Changes Summary'!I36)/(Sheet9!I8+Sheet9!I10+'Rate Changes Summary'!H36)-1</f>
        <v>8.6388153238461385E-3</v>
      </c>
      <c r="K4" s="315">
        <f>(Sheet9!K8+Sheet9!K10+'Rate Changes Summary'!J36)/(Sheet9!J8+Sheet9!J10+'Rate Changes Summary'!I36)-1</f>
        <v>8.7789460135925257E-3</v>
      </c>
      <c r="L4" s="315">
        <f>(Sheet9!L8+Sheet9!L10+'Rate Changes Summary'!K36)/(Sheet9!K8+Sheet9!K10+'Rate Changes Summary'!J36)-1</f>
        <v>8.9201104954577115E-3</v>
      </c>
      <c r="M4" s="316" t="e">
        <f>('Rate Changes Summary'!#REF!+'Rate Changes Summary'!#REF!+'Rate Changes Summary'!L36)/(Sheet9!L8+Sheet9!L10+'Rate Changes Summary'!K36)-1</f>
        <v>#REF!</v>
      </c>
    </row>
    <row r="5" spans="1:13" ht="19.5" thickBot="1" x14ac:dyDescent="0.35">
      <c r="A5" s="300"/>
      <c r="B5" s="327" t="s">
        <v>269</v>
      </c>
      <c r="C5" s="327"/>
      <c r="D5" s="327"/>
      <c r="E5" s="306"/>
      <c r="F5" s="307"/>
      <c r="G5" s="307">
        <f>'Rate Changes Summary'!F14/-'Rate Changes Summary'!F29*365</f>
        <v>112.29728870992427</v>
      </c>
      <c r="H5" s="307" t="e">
        <f>'Rate Changes Summary'!G14/-'Rate Changes Summary'!G29*365</f>
        <v>#REF!</v>
      </c>
      <c r="I5" s="307" t="e">
        <f>'Rate Changes Summary'!H14/-'Rate Changes Summary'!H29*365</f>
        <v>#REF!</v>
      </c>
      <c r="J5" s="307" t="e">
        <f>'Rate Changes Summary'!I14/-'Rate Changes Summary'!I29*365</f>
        <v>#REF!</v>
      </c>
      <c r="K5" s="307" t="e">
        <f>'Rate Changes Summary'!J14/-'Rate Changes Summary'!J29*365</f>
        <v>#REF!</v>
      </c>
      <c r="L5" s="307" t="e">
        <f>'Rate Changes Summary'!K14/-'Rate Changes Summary'!K29*365</f>
        <v>#REF!</v>
      </c>
      <c r="M5" s="308" t="e">
        <f>'Rate Changes Summary'!L14/-'Rate Changes Summary'!L29*365</f>
        <v>#REF!</v>
      </c>
    </row>
    <row r="6" spans="1:13" ht="15.75" x14ac:dyDescent="0.25">
      <c r="A6" s="309" t="e">
        <f>'Rate Changes Summary'!#REF!+1</f>
        <v>#REF!</v>
      </c>
      <c r="B6" s="312" t="s">
        <v>215</v>
      </c>
      <c r="C6" s="277"/>
      <c r="D6" s="285"/>
      <c r="E6" s="285"/>
      <c r="F6" s="285"/>
      <c r="G6" s="313"/>
      <c r="H6" s="285"/>
      <c r="I6" s="285"/>
      <c r="J6" s="285"/>
      <c r="K6" s="285"/>
      <c r="L6" s="285"/>
    </row>
    <row r="7" spans="1:13" ht="15.75" x14ac:dyDescent="0.25">
      <c r="A7" s="309" t="e">
        <f t="shared" ref="A7:A14" si="0">A6+1</f>
        <v>#REF!</v>
      </c>
      <c r="B7" s="321" t="s">
        <v>259</v>
      </c>
      <c r="C7" s="322"/>
      <c r="D7" s="323"/>
      <c r="E7" s="323"/>
      <c r="F7" s="323">
        <v>246883.90545000002</v>
      </c>
      <c r="G7" s="324">
        <f>F7*(1+Sheet9!G2)</f>
        <v>320949.07708500006</v>
      </c>
      <c r="H7" s="323">
        <f>G7*(1+Sheet9!H$2)</f>
        <v>353043.9847935001</v>
      </c>
      <c r="I7" s="323">
        <f>H7*(1+Sheet9!I$2)</f>
        <v>370696.18403317512</v>
      </c>
      <c r="J7" s="323">
        <f>I7*(1+Sheet9!J$2)</f>
        <v>379963.58863400447</v>
      </c>
      <c r="K7" s="323">
        <f>J7*(1+Sheet9!K$2)</f>
        <v>389462.67834985454</v>
      </c>
      <c r="L7" s="323">
        <f>K7*(1+Sheet9!L$2)</f>
        <v>399199.24530860089</v>
      </c>
    </row>
    <row r="8" spans="1:13" ht="15.75" x14ac:dyDescent="0.25">
      <c r="A8" s="309" t="e">
        <f t="shared" si="0"/>
        <v>#REF!</v>
      </c>
      <c r="B8" s="321" t="s">
        <v>260</v>
      </c>
      <c r="C8" s="322"/>
      <c r="D8" s="322"/>
      <c r="E8" s="322"/>
      <c r="F8" s="322">
        <v>262800</v>
      </c>
      <c r="G8" s="324">
        <f>F8*(1+Sheet9!G2)</f>
        <v>341640</v>
      </c>
      <c r="H8" s="322">
        <f>G8*(1+Sheet9!H$2)</f>
        <v>375804.00000000006</v>
      </c>
      <c r="I8" s="322">
        <f>H8*(1+Sheet9!I$2)</f>
        <v>394594.20000000007</v>
      </c>
      <c r="J8" s="322">
        <f>I8*(1+Sheet9!J$2)</f>
        <v>404459.05500000005</v>
      </c>
      <c r="K8" s="322">
        <f>J8*(1+Sheet9!K$2)</f>
        <v>414570.53137500002</v>
      </c>
      <c r="L8" s="322">
        <f>K8*(1+Sheet9!L$2)</f>
        <v>424934.79465937498</v>
      </c>
    </row>
    <row r="9" spans="1:13" ht="15.75" x14ac:dyDescent="0.25">
      <c r="A9" s="309" t="e">
        <f t="shared" si="0"/>
        <v>#REF!</v>
      </c>
      <c r="B9" s="321" t="s">
        <v>261</v>
      </c>
      <c r="C9" s="322"/>
      <c r="D9" s="322"/>
      <c r="E9" s="322"/>
      <c r="F9" s="322">
        <v>45000</v>
      </c>
      <c r="G9" s="325">
        <f>F9*(1+Sheet9!G$2)</f>
        <v>58500</v>
      </c>
      <c r="H9" s="322">
        <f>G9*(1+Sheet9!H$2)</f>
        <v>64350.000000000007</v>
      </c>
      <c r="I9" s="322">
        <f>H9*(1+Sheet9!I$2)</f>
        <v>67567.500000000015</v>
      </c>
      <c r="J9" s="322">
        <f>I9*(1+Sheet9!J$2)</f>
        <v>69256.687500000015</v>
      </c>
      <c r="K9" s="322">
        <f>J9*(1+Sheet9!K$2)</f>
        <v>70988.104687500003</v>
      </c>
      <c r="L9" s="322">
        <f>K9*(1+Sheet9!L$2)</f>
        <v>72762.807304687492</v>
      </c>
    </row>
    <row r="10" spans="1:13" ht="15.75" x14ac:dyDescent="0.25">
      <c r="A10" s="309" t="e">
        <f t="shared" si="0"/>
        <v>#REF!</v>
      </c>
      <c r="B10" s="321" t="s">
        <v>262</v>
      </c>
      <c r="C10" s="322"/>
      <c r="D10" s="322"/>
      <c r="E10" s="322"/>
      <c r="F10" s="322">
        <v>246883.90545000002</v>
      </c>
      <c r="G10" s="325">
        <v>204160</v>
      </c>
      <c r="H10" s="322">
        <f t="shared" ref="H10:L13" si="1">G10</f>
        <v>204160</v>
      </c>
      <c r="I10" s="322">
        <f t="shared" si="1"/>
        <v>204160</v>
      </c>
      <c r="J10" s="322">
        <f t="shared" si="1"/>
        <v>204160</v>
      </c>
      <c r="K10" s="322">
        <f t="shared" si="1"/>
        <v>204160</v>
      </c>
      <c r="L10" s="322">
        <f t="shared" si="1"/>
        <v>204160</v>
      </c>
    </row>
    <row r="11" spans="1:13" ht="15.75" x14ac:dyDescent="0.25">
      <c r="A11" s="309" t="e">
        <f t="shared" si="0"/>
        <v>#REF!</v>
      </c>
      <c r="B11" s="326" t="s">
        <v>425</v>
      </c>
      <c r="C11" s="322"/>
      <c r="D11" s="322"/>
      <c r="E11" s="322"/>
      <c r="F11" s="322">
        <f>Inputs!J11</f>
        <v>15600</v>
      </c>
      <c r="G11" s="325">
        <v>11504</v>
      </c>
      <c r="H11" s="322">
        <f t="shared" si="1"/>
        <v>11504</v>
      </c>
      <c r="I11" s="322">
        <f t="shared" si="1"/>
        <v>11504</v>
      </c>
      <c r="J11" s="322">
        <f t="shared" si="1"/>
        <v>11504</v>
      </c>
      <c r="K11" s="322">
        <f t="shared" si="1"/>
        <v>11504</v>
      </c>
      <c r="L11" s="322">
        <f t="shared" si="1"/>
        <v>11504</v>
      </c>
    </row>
    <row r="12" spans="1:13" ht="15.75" x14ac:dyDescent="0.25">
      <c r="A12" s="309" t="e">
        <f t="shared" si="0"/>
        <v>#REF!</v>
      </c>
      <c r="B12" s="326" t="s">
        <v>263</v>
      </c>
      <c r="C12" s="322"/>
      <c r="D12" s="322"/>
      <c r="E12" s="322"/>
      <c r="F12" s="322">
        <v>25000</v>
      </c>
      <c r="G12" s="325">
        <v>35000</v>
      </c>
      <c r="H12" s="322">
        <f t="shared" si="1"/>
        <v>35000</v>
      </c>
      <c r="I12" s="322">
        <f t="shared" si="1"/>
        <v>35000</v>
      </c>
      <c r="J12" s="322">
        <f t="shared" si="1"/>
        <v>35000</v>
      </c>
      <c r="K12" s="322">
        <f t="shared" si="1"/>
        <v>35000</v>
      </c>
      <c r="L12" s="322">
        <f t="shared" si="1"/>
        <v>35000</v>
      </c>
    </row>
    <row r="13" spans="1:13" ht="15.75" x14ac:dyDescent="0.25">
      <c r="A13" s="309" t="e">
        <f t="shared" si="0"/>
        <v>#REF!</v>
      </c>
      <c r="B13" s="326" t="s">
        <v>101</v>
      </c>
      <c r="C13" s="322"/>
      <c r="D13" s="322"/>
      <c r="E13" s="322"/>
      <c r="F13" s="322"/>
      <c r="G13" s="325">
        <v>0</v>
      </c>
      <c r="H13" s="322">
        <f t="shared" si="1"/>
        <v>0</v>
      </c>
      <c r="I13" s="322">
        <f t="shared" si="1"/>
        <v>0</v>
      </c>
      <c r="J13" s="322">
        <f t="shared" si="1"/>
        <v>0</v>
      </c>
      <c r="K13" s="322">
        <f t="shared" si="1"/>
        <v>0</v>
      </c>
      <c r="L13" s="322">
        <f t="shared" si="1"/>
        <v>0</v>
      </c>
    </row>
    <row r="14" spans="1:13" ht="15.75" x14ac:dyDescent="0.25">
      <c r="A14" s="309" t="e">
        <f t="shared" si="0"/>
        <v>#REF!</v>
      </c>
      <c r="B14" s="278" t="s">
        <v>226</v>
      </c>
      <c r="C14" s="279"/>
      <c r="D14" s="279">
        <f t="shared" ref="D14:L14" si="2">SUM(D7:D13)</f>
        <v>0</v>
      </c>
      <c r="E14" s="279">
        <f t="shared" si="2"/>
        <v>0</v>
      </c>
      <c r="F14" s="279">
        <f t="shared" si="2"/>
        <v>842167.81089999992</v>
      </c>
      <c r="G14" s="280">
        <f t="shared" si="2"/>
        <v>971753.077085</v>
      </c>
      <c r="H14" s="279">
        <f t="shared" si="2"/>
        <v>1043861.9847935002</v>
      </c>
      <c r="I14" s="279">
        <f t="shared" si="2"/>
        <v>1083521.8840331752</v>
      </c>
      <c r="J14" s="279">
        <f t="shared" si="2"/>
        <v>1104343.3311340045</v>
      </c>
      <c r="K14" s="279">
        <f t="shared" si="2"/>
        <v>1125685.3144123545</v>
      </c>
      <c r="L14" s="279">
        <f t="shared" si="2"/>
        <v>1147560.8472726634</v>
      </c>
    </row>
  </sheetData>
  <mergeCells count="1">
    <mergeCell ref="B1:D1"/>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993C7-95A4-4117-98A0-FE095E31CFF1}">
  <dimension ref="A1:AR111"/>
  <sheetViews>
    <sheetView topLeftCell="G79" workbookViewId="0">
      <selection activeCell="U105" sqref="U105"/>
    </sheetView>
  </sheetViews>
  <sheetFormatPr defaultRowHeight="15" x14ac:dyDescent="0.25"/>
  <cols>
    <col min="1" max="1" width="3" bestFit="1" customWidth="1"/>
    <col min="2" max="2" width="15.140625" customWidth="1"/>
    <col min="3" max="3" width="14.7109375" customWidth="1"/>
    <col min="4" max="4" width="25" customWidth="1"/>
    <col min="5" max="5" width="27" customWidth="1"/>
    <col min="6" max="6" width="12" bestFit="1" customWidth="1"/>
    <col min="7" max="7" width="8.5703125" bestFit="1" customWidth="1"/>
    <col min="8" max="8" width="5" bestFit="1" customWidth="1"/>
    <col min="9" max="10" width="10" bestFit="1" customWidth="1"/>
    <col min="11" max="11" width="9" bestFit="1" customWidth="1"/>
    <col min="12" max="12" width="10" bestFit="1" customWidth="1"/>
    <col min="13" max="13" width="3" bestFit="1" customWidth="1"/>
    <col min="15" max="15" width="28" bestFit="1" customWidth="1"/>
    <col min="16" max="16" width="9.5703125" bestFit="1" customWidth="1"/>
    <col min="17" max="17" width="9.42578125" bestFit="1" customWidth="1"/>
    <col min="18" max="19" width="10.140625" bestFit="1" customWidth="1"/>
    <col min="20" max="21" width="10.7109375" bestFit="1" customWidth="1"/>
    <col min="22" max="22" width="19.140625" bestFit="1" customWidth="1"/>
    <col min="23" max="23" width="17.28515625" bestFit="1" customWidth="1"/>
    <col min="24" max="24" width="15.140625" bestFit="1" customWidth="1"/>
    <col min="25" max="40" width="10.140625" bestFit="1" customWidth="1"/>
  </cols>
  <sheetData>
    <row r="1" spans="1:44" ht="36" x14ac:dyDescent="0.55000000000000004">
      <c r="A1" s="299"/>
      <c r="B1" s="453" t="s">
        <v>380</v>
      </c>
      <c r="C1" s="454"/>
      <c r="D1" s="454"/>
      <c r="E1" s="454"/>
      <c r="F1" s="454"/>
      <c r="G1" s="454"/>
      <c r="H1" s="454"/>
      <c r="I1" s="454"/>
      <c r="J1" s="454"/>
      <c r="K1" s="454"/>
      <c r="L1" s="454"/>
      <c r="M1" s="297"/>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row>
    <row r="2" spans="1:44" x14ac:dyDescent="0.25">
      <c r="A2" s="455"/>
      <c r="B2" s="455" t="s">
        <v>381</v>
      </c>
      <c r="C2" s="455" t="s">
        <v>271</v>
      </c>
      <c r="D2" s="455" t="s">
        <v>272</v>
      </c>
      <c r="E2" s="455" t="s">
        <v>273</v>
      </c>
      <c r="F2" s="455" t="s">
        <v>274</v>
      </c>
      <c r="G2" s="455" t="s">
        <v>314</v>
      </c>
      <c r="H2" s="455" t="s">
        <v>276</v>
      </c>
      <c r="I2" s="455" t="s">
        <v>277</v>
      </c>
      <c r="J2" s="455" t="s">
        <v>278</v>
      </c>
      <c r="K2" s="455" t="s">
        <v>279</v>
      </c>
      <c r="L2" s="455" t="s">
        <v>280</v>
      </c>
      <c r="M2" s="297"/>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row>
    <row r="3" spans="1:44" ht="15.75" thickBot="1" x14ac:dyDescent="0.3">
      <c r="A3" s="456">
        <f t="shared" ref="A3:B22" si="0">A2+1</f>
        <v>1</v>
      </c>
      <c r="B3" s="299"/>
      <c r="C3" s="299"/>
      <c r="D3" s="299"/>
      <c r="E3" s="299"/>
      <c r="F3" s="299"/>
      <c r="G3" s="299"/>
      <c r="H3" s="299"/>
      <c r="I3" s="299"/>
      <c r="J3" s="299"/>
      <c r="K3" s="299"/>
      <c r="L3" s="299"/>
      <c r="M3" s="457">
        <v>1</v>
      </c>
      <c r="N3" s="329"/>
      <c r="O3" s="329"/>
      <c r="P3" s="329"/>
      <c r="Q3" s="329"/>
      <c r="R3" s="329"/>
      <c r="S3" s="329" t="s">
        <v>382</v>
      </c>
      <c r="T3" s="329" t="s">
        <v>383</v>
      </c>
      <c r="U3" s="329" t="s">
        <v>384</v>
      </c>
      <c r="V3" s="329" t="s">
        <v>385</v>
      </c>
      <c r="W3" s="329"/>
      <c r="X3" s="329"/>
      <c r="Y3" s="329"/>
      <c r="Z3" s="329"/>
      <c r="AA3" s="329"/>
      <c r="AB3" s="329"/>
      <c r="AC3" s="329"/>
      <c r="AD3" s="329"/>
      <c r="AE3" s="329"/>
      <c r="AF3" s="329"/>
      <c r="AG3" s="329"/>
      <c r="AH3" s="329"/>
      <c r="AI3" s="329"/>
      <c r="AJ3" s="329"/>
      <c r="AK3" s="329"/>
      <c r="AL3" s="329"/>
      <c r="AM3" s="329"/>
      <c r="AN3" s="329"/>
      <c r="AO3" s="329"/>
      <c r="AP3" s="329"/>
      <c r="AQ3" s="329"/>
      <c r="AR3" s="329"/>
    </row>
    <row r="4" spans="1:44" ht="41.25" x14ac:dyDescent="0.25">
      <c r="A4" s="456">
        <f t="shared" si="0"/>
        <v>2</v>
      </c>
      <c r="B4" s="458" t="s">
        <v>386</v>
      </c>
      <c r="C4" s="459" t="s">
        <v>387</v>
      </c>
      <c r="D4" s="459" t="s">
        <v>388</v>
      </c>
      <c r="E4" s="459" t="s">
        <v>389</v>
      </c>
      <c r="F4" s="460" t="s">
        <v>390</v>
      </c>
      <c r="G4" s="330"/>
      <c r="H4" s="461"/>
      <c r="I4" s="459" t="s">
        <v>391</v>
      </c>
      <c r="J4" s="459" t="s">
        <v>392</v>
      </c>
      <c r="K4" s="459" t="s">
        <v>393</v>
      </c>
      <c r="L4" s="460" t="s">
        <v>394</v>
      </c>
      <c r="M4" s="462">
        <f>A4</f>
        <v>2</v>
      </c>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row>
    <row r="5" spans="1:44" x14ac:dyDescent="0.25">
      <c r="A5" s="456">
        <f t="shared" si="0"/>
        <v>3</v>
      </c>
      <c r="B5" s="463">
        <f>J8</f>
        <v>0</v>
      </c>
      <c r="C5" s="464">
        <f>P8</f>
        <v>0</v>
      </c>
      <c r="D5" s="464">
        <f>P6</f>
        <v>0</v>
      </c>
      <c r="E5" s="464">
        <f>F38</f>
        <v>2083710.04</v>
      </c>
      <c r="F5" s="465" t="e">
        <f>(E5-C5)*#REF!</f>
        <v>#REF!</v>
      </c>
      <c r="G5" s="297"/>
      <c r="H5" s="466">
        <v>2010</v>
      </c>
      <c r="I5" s="464">
        <f>-'[1]Cov 2 20% Salary '!C$60</f>
        <v>0</v>
      </c>
      <c r="J5" s="467"/>
      <c r="K5" s="468">
        <v>0</v>
      </c>
      <c r="L5" s="469">
        <f>I5+K5</f>
        <v>0</v>
      </c>
      <c r="M5" s="457">
        <f t="shared" ref="M5:M65" si="1">A5</f>
        <v>3</v>
      </c>
      <c r="N5" s="329"/>
      <c r="O5" s="329">
        <v>2013</v>
      </c>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row>
    <row r="6" spans="1:44" x14ac:dyDescent="0.25">
      <c r="A6" s="456">
        <f t="shared" si="0"/>
        <v>4</v>
      </c>
      <c r="B6" s="463"/>
      <c r="C6" s="464"/>
      <c r="D6" s="464"/>
      <c r="E6" s="464"/>
      <c r="F6" s="465"/>
      <c r="G6" s="297"/>
      <c r="H6" s="466">
        <f>H5+1</f>
        <v>2011</v>
      </c>
      <c r="I6" s="464">
        <f>-'[1]Cov 2 20% Salary '!D$60</f>
        <v>0</v>
      </c>
      <c r="J6" s="467"/>
      <c r="K6" s="470">
        <v>0</v>
      </c>
      <c r="L6" s="469">
        <f t="shared" ref="L6:L13" si="2">I6+K6</f>
        <v>0</v>
      </c>
      <c r="M6" s="457">
        <f t="shared" si="1"/>
        <v>4</v>
      </c>
      <c r="N6" s="329"/>
      <c r="O6" s="370" t="s">
        <v>395</v>
      </c>
      <c r="P6" s="471">
        <f>K8</f>
        <v>0</v>
      </c>
      <c r="Q6" s="471"/>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row>
    <row r="7" spans="1:44" x14ac:dyDescent="0.25">
      <c r="A7" s="456">
        <f t="shared" si="0"/>
        <v>5</v>
      </c>
      <c r="B7" s="463"/>
      <c r="C7" s="464"/>
      <c r="D7" s="464"/>
      <c r="E7" s="464"/>
      <c r="F7" s="465"/>
      <c r="G7" s="297"/>
      <c r="H7" s="466">
        <f t="shared" ref="H7:H13" si="3">H6+1</f>
        <v>2012</v>
      </c>
      <c r="I7" s="464">
        <f>-'[1]Cov 2 20% Salary '!E$60</f>
        <v>25000</v>
      </c>
      <c r="J7" s="467"/>
      <c r="K7" s="470">
        <v>0</v>
      </c>
      <c r="L7" s="469">
        <f t="shared" si="2"/>
        <v>25000</v>
      </c>
      <c r="M7" s="457">
        <f t="shared" si="1"/>
        <v>5</v>
      </c>
      <c r="N7" s="329"/>
      <c r="O7" s="370" t="s">
        <v>396</v>
      </c>
      <c r="P7" s="471">
        <f>P8-P6</f>
        <v>0</v>
      </c>
      <c r="Q7" s="471"/>
      <c r="R7" s="370"/>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row>
    <row r="8" spans="1:44" x14ac:dyDescent="0.25">
      <c r="A8" s="456">
        <f t="shared" si="0"/>
        <v>6</v>
      </c>
      <c r="B8" s="463"/>
      <c r="C8" s="464"/>
      <c r="D8" s="464"/>
      <c r="E8" s="464"/>
      <c r="F8" s="465"/>
      <c r="G8" s="297"/>
      <c r="H8" s="466">
        <f t="shared" si="3"/>
        <v>2013</v>
      </c>
      <c r="I8" s="464">
        <f>-'[1]Cov 2 20% Salary '!F$60</f>
        <v>26250</v>
      </c>
      <c r="J8" s="467"/>
      <c r="K8" s="470">
        <v>0</v>
      </c>
      <c r="L8" s="469">
        <f t="shared" si="2"/>
        <v>26250</v>
      </c>
      <c r="M8" s="457">
        <f t="shared" si="1"/>
        <v>6</v>
      </c>
      <c r="N8" s="329"/>
      <c r="O8" s="370" t="s">
        <v>397</v>
      </c>
      <c r="P8" s="471">
        <f>ROUNDUP(P6/0.95,-3)</f>
        <v>0</v>
      </c>
      <c r="Q8" s="471"/>
      <c r="R8" s="370"/>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row>
    <row r="9" spans="1:44" x14ac:dyDescent="0.25">
      <c r="A9" s="456">
        <f t="shared" si="0"/>
        <v>7</v>
      </c>
      <c r="B9" s="472"/>
      <c r="C9" s="464"/>
      <c r="D9" s="464"/>
      <c r="E9" s="464"/>
      <c r="F9" s="465"/>
      <c r="G9" s="473"/>
      <c r="H9" s="466">
        <f t="shared" si="3"/>
        <v>2014</v>
      </c>
      <c r="I9" s="470">
        <f>-'[1]Cov 2 20% Salary '!G$60</f>
        <v>27562.5</v>
      </c>
      <c r="J9" s="299"/>
      <c r="K9" s="470">
        <v>0</v>
      </c>
      <c r="L9" s="469">
        <f t="shared" si="2"/>
        <v>27562.5</v>
      </c>
      <c r="M9" s="457">
        <f t="shared" si="1"/>
        <v>7</v>
      </c>
      <c r="N9" s="329"/>
      <c r="O9" s="370" t="s">
        <v>398</v>
      </c>
      <c r="P9" s="370">
        <v>0.05</v>
      </c>
      <c r="Q9" s="370"/>
      <c r="R9" s="370"/>
      <c r="S9" s="29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row>
    <row r="10" spans="1:44" x14ac:dyDescent="0.25">
      <c r="A10" s="456">
        <f t="shared" si="0"/>
        <v>8</v>
      </c>
      <c r="B10" s="472"/>
      <c r="C10" s="464"/>
      <c r="D10" s="464"/>
      <c r="E10" s="464"/>
      <c r="F10" s="465"/>
      <c r="G10" s="297"/>
      <c r="H10" s="466">
        <f t="shared" si="3"/>
        <v>2015</v>
      </c>
      <c r="I10" s="470">
        <f>-'[1]Cov 2 20% Salary '!H$60</f>
        <v>28940.625</v>
      </c>
      <c r="J10" s="467"/>
      <c r="K10" s="470">
        <v>0</v>
      </c>
      <c r="L10" s="469">
        <f t="shared" si="2"/>
        <v>28940.625</v>
      </c>
      <c r="M10" s="457">
        <f t="shared" si="1"/>
        <v>8</v>
      </c>
      <c r="N10" s="329"/>
      <c r="O10" s="370">
        <v>2019</v>
      </c>
      <c r="P10" s="370"/>
      <c r="Q10" s="370"/>
      <c r="R10" s="370"/>
      <c r="S10" s="29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row>
    <row r="11" spans="1:44" x14ac:dyDescent="0.25">
      <c r="A11" s="456">
        <f t="shared" si="0"/>
        <v>9</v>
      </c>
      <c r="B11" s="474"/>
      <c r="C11" s="464"/>
      <c r="D11" s="464"/>
      <c r="E11" s="464"/>
      <c r="F11" s="465"/>
      <c r="G11" s="297"/>
      <c r="H11" s="466">
        <f t="shared" si="3"/>
        <v>2016</v>
      </c>
      <c r="I11" s="470">
        <f>-'[1]Cov 2 20% Salary '!I$60</f>
        <v>30387.65625</v>
      </c>
      <c r="J11" s="467"/>
      <c r="K11" s="470">
        <v>0</v>
      </c>
      <c r="L11" s="469">
        <f t="shared" si="2"/>
        <v>30387.65625</v>
      </c>
      <c r="M11" s="457">
        <f t="shared" si="1"/>
        <v>9</v>
      </c>
      <c r="N11" s="329"/>
      <c r="O11" s="370" t="s">
        <v>395</v>
      </c>
      <c r="P11" s="471" t="e">
        <f>#REF!</f>
        <v>#REF!</v>
      </c>
      <c r="Q11" s="471"/>
      <c r="R11" s="370"/>
      <c r="S11" s="299">
        <v>139611.25</v>
      </c>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row>
    <row r="12" spans="1:44" x14ac:dyDescent="0.25">
      <c r="A12" s="456">
        <f t="shared" si="0"/>
        <v>10</v>
      </c>
      <c r="B12" s="474"/>
      <c r="C12" s="475"/>
      <c r="D12" s="475"/>
      <c r="E12" s="475"/>
      <c r="F12" s="465"/>
      <c r="G12" s="297"/>
      <c r="H12" s="466">
        <f t="shared" si="3"/>
        <v>2017</v>
      </c>
      <c r="I12" s="476">
        <f>-'[1]Cov 2 20% Salary '!J$60</f>
        <v>31907.0390625</v>
      </c>
      <c r="J12" s="467"/>
      <c r="K12" s="470">
        <v>0</v>
      </c>
      <c r="L12" s="469">
        <f t="shared" si="2"/>
        <v>31907.0390625</v>
      </c>
      <c r="M12" s="457">
        <f t="shared" si="1"/>
        <v>10</v>
      </c>
      <c r="N12" s="329"/>
      <c r="O12" s="370" t="s">
        <v>396</v>
      </c>
      <c r="P12" s="471" t="e">
        <f>P13-P11</f>
        <v>#REF!</v>
      </c>
      <c r="Q12" s="471"/>
      <c r="R12" s="370"/>
      <c r="S12" s="299">
        <v>139409.29999999999</v>
      </c>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row>
    <row r="13" spans="1:44" ht="15.75" thickBot="1" x14ac:dyDescent="0.3">
      <c r="A13" s="456">
        <f t="shared" si="0"/>
        <v>11</v>
      </c>
      <c r="B13" s="477" t="s">
        <v>399</v>
      </c>
      <c r="C13" s="478">
        <f>SUM(C5:C12)</f>
        <v>0</v>
      </c>
      <c r="D13" s="478">
        <f>SUM(D5:D12)</f>
        <v>0</v>
      </c>
      <c r="E13" s="478">
        <f>SUM(E5:E12)</f>
        <v>2083710.04</v>
      </c>
      <c r="F13" s="479" t="e">
        <f>SUM(F5:F12)</f>
        <v>#REF!</v>
      </c>
      <c r="G13" s="297"/>
      <c r="H13" s="480">
        <f t="shared" si="3"/>
        <v>2018</v>
      </c>
      <c r="I13" s="481">
        <f>-'[1]Cov 2 20% Salary '!K$60</f>
        <v>33502.391015624999</v>
      </c>
      <c r="J13" s="482"/>
      <c r="K13" s="483">
        <v>0</v>
      </c>
      <c r="L13" s="484">
        <f t="shared" si="2"/>
        <v>33502.391015624999</v>
      </c>
      <c r="M13" s="457">
        <f t="shared" si="1"/>
        <v>11</v>
      </c>
      <c r="N13" s="329"/>
      <c r="O13" s="370" t="s">
        <v>397</v>
      </c>
      <c r="P13" s="471" t="e">
        <f>ROUNDUP(P11/0.95,-3)</f>
        <v>#REF!</v>
      </c>
      <c r="Q13" s="471"/>
      <c r="R13" s="370"/>
      <c r="S13" s="299">
        <v>139214.5</v>
      </c>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row>
    <row r="14" spans="1:44" x14ac:dyDescent="0.25">
      <c r="A14" s="456">
        <f t="shared" si="0"/>
        <v>12</v>
      </c>
      <c r="B14" s="485"/>
      <c r="C14" s="486"/>
      <c r="D14" s="486"/>
      <c r="E14" s="486"/>
      <c r="F14" s="486"/>
      <c r="G14" s="297"/>
      <c r="H14" s="485"/>
      <c r="I14" s="486"/>
      <c r="J14" s="486"/>
      <c r="K14" s="486"/>
      <c r="L14" s="486"/>
      <c r="M14" s="457"/>
      <c r="N14" s="329"/>
      <c r="O14" s="370"/>
      <c r="P14" s="471"/>
      <c r="Q14" s="471"/>
      <c r="R14" s="370"/>
      <c r="S14" s="299">
        <v>139138.9</v>
      </c>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row>
    <row r="15" spans="1:44" ht="15.75" thickBot="1" x14ac:dyDescent="0.3">
      <c r="A15" s="456">
        <f>A3+1</f>
        <v>2</v>
      </c>
      <c r="B15" s="985" t="s">
        <v>400</v>
      </c>
      <c r="C15" s="985"/>
      <c r="D15" s="985"/>
      <c r="E15" s="985"/>
      <c r="F15" s="985"/>
      <c r="G15" s="329"/>
      <c r="H15" s="985" t="s">
        <v>401</v>
      </c>
      <c r="I15" s="985"/>
      <c r="J15" s="985"/>
      <c r="K15" s="985"/>
      <c r="L15" s="985"/>
      <c r="M15" s="457">
        <f t="shared" si="1"/>
        <v>2</v>
      </c>
      <c r="N15" s="329"/>
      <c r="O15" s="370" t="s">
        <v>398</v>
      </c>
      <c r="P15" s="370">
        <v>0.05</v>
      </c>
      <c r="Q15" s="370"/>
      <c r="R15" s="370"/>
      <c r="S15" s="299">
        <v>138966.29999999999</v>
      </c>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row>
    <row r="16" spans="1:44" x14ac:dyDescent="0.25">
      <c r="A16" s="456">
        <f t="shared" si="0"/>
        <v>3</v>
      </c>
      <c r="B16" s="461"/>
      <c r="C16" s="487" t="s">
        <v>85</v>
      </c>
      <c r="D16" s="487" t="s">
        <v>291</v>
      </c>
      <c r="E16" s="487" t="s">
        <v>402</v>
      </c>
      <c r="F16" s="488" t="s">
        <v>403</v>
      </c>
      <c r="G16" s="329"/>
      <c r="H16" s="461"/>
      <c r="I16" s="487" t="s">
        <v>85</v>
      </c>
      <c r="J16" s="487" t="s">
        <v>291</v>
      </c>
      <c r="K16" s="487" t="s">
        <v>402</v>
      </c>
      <c r="L16" s="488" t="s">
        <v>403</v>
      </c>
      <c r="M16" s="457">
        <f t="shared" si="1"/>
        <v>3</v>
      </c>
      <c r="N16" s="329"/>
      <c r="O16" s="370"/>
      <c r="P16" s="370"/>
      <c r="Q16" s="370"/>
      <c r="R16" s="370"/>
      <c r="S16" s="489">
        <v>138754.29999999999</v>
      </c>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row>
    <row r="17" spans="1:44" x14ac:dyDescent="0.25">
      <c r="A17" s="456">
        <f t="shared" si="0"/>
        <v>4</v>
      </c>
      <c r="B17" s="490">
        <v>2003</v>
      </c>
      <c r="C17" s="491">
        <v>89100</v>
      </c>
      <c r="D17" s="491">
        <v>50511.25</v>
      </c>
      <c r="E17" s="492">
        <f>-240000*0.01</f>
        <v>-2400</v>
      </c>
      <c r="F17" s="493">
        <f>SUM(C17:E17)</f>
        <v>137211.25</v>
      </c>
      <c r="G17" s="329"/>
      <c r="H17" s="494">
        <v>2011</v>
      </c>
      <c r="I17" s="495">
        <v>47000</v>
      </c>
      <c r="J17" s="495">
        <v>12540</v>
      </c>
      <c r="K17" s="496"/>
      <c r="L17" s="497">
        <f>SUM(I17:K17)</f>
        <v>59540</v>
      </c>
      <c r="M17" s="457">
        <f t="shared" si="1"/>
        <v>4</v>
      </c>
      <c r="N17" s="329"/>
      <c r="O17" s="329"/>
      <c r="P17" s="329"/>
      <c r="Q17" s="329"/>
      <c r="R17" s="370"/>
      <c r="S17" s="489">
        <v>140045.22</v>
      </c>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row>
    <row r="18" spans="1:44" x14ac:dyDescent="0.25">
      <c r="A18" s="456">
        <f t="shared" si="0"/>
        <v>5</v>
      </c>
      <c r="B18" s="490">
        <f>B17+1</f>
        <v>2004</v>
      </c>
      <c r="C18" s="492">
        <v>93700</v>
      </c>
      <c r="D18" s="492">
        <v>45709.299999999988</v>
      </c>
      <c r="E18" s="492">
        <f t="shared" ref="E18:E30" si="4">-240000*0.01</f>
        <v>-2400</v>
      </c>
      <c r="F18" s="465">
        <f>SUM(C18:E18)</f>
        <v>137009.29999999999</v>
      </c>
      <c r="G18" s="329"/>
      <c r="H18" s="494">
        <f t="shared" ref="H18:H30" si="5">H17+1</f>
        <v>2012</v>
      </c>
      <c r="I18" s="498">
        <v>48000</v>
      </c>
      <c r="J18" s="498">
        <v>12126.399999999994</v>
      </c>
      <c r="K18" s="496"/>
      <c r="L18" s="499">
        <f>SUM(I18:K18)</f>
        <v>60126.399999999994</v>
      </c>
      <c r="M18" s="457">
        <f t="shared" si="1"/>
        <v>5</v>
      </c>
      <c r="N18" s="329"/>
      <c r="O18" s="370">
        <v>2039</v>
      </c>
      <c r="P18" s="370"/>
      <c r="Q18" s="370"/>
      <c r="R18" s="370"/>
      <c r="S18" s="489">
        <v>127785</v>
      </c>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row>
    <row r="19" spans="1:44" x14ac:dyDescent="0.25">
      <c r="A19" s="456">
        <f t="shared" si="0"/>
        <v>6</v>
      </c>
      <c r="B19" s="490">
        <f>B18+1</f>
        <v>2005</v>
      </c>
      <c r="C19" s="492">
        <v>98700</v>
      </c>
      <c r="D19" s="492">
        <v>40514.5</v>
      </c>
      <c r="E19" s="492">
        <f t="shared" si="4"/>
        <v>-2400</v>
      </c>
      <c r="F19" s="465">
        <f t="shared" ref="F19:F37" si="6">SUM(C19:E19)</f>
        <v>136814.5</v>
      </c>
      <c r="G19" s="329"/>
      <c r="H19" s="490">
        <f t="shared" si="5"/>
        <v>2013</v>
      </c>
      <c r="I19" s="464">
        <v>48000</v>
      </c>
      <c r="J19" s="464">
        <v>11281.600000000006</v>
      </c>
      <c r="K19" s="492"/>
      <c r="L19" s="500">
        <f t="shared" ref="L19:L37" si="7">SUM(I19:K19)</f>
        <v>59281.600000000006</v>
      </c>
      <c r="M19" s="457">
        <f t="shared" si="1"/>
        <v>6</v>
      </c>
      <c r="N19" s="329"/>
      <c r="O19" s="370" t="s">
        <v>395</v>
      </c>
      <c r="P19" s="471" t="e">
        <f>#REF!</f>
        <v>#REF!</v>
      </c>
      <c r="Q19" s="471"/>
      <c r="R19" s="370"/>
      <c r="S19" s="489">
        <v>132245.62</v>
      </c>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row>
    <row r="20" spans="1:44" x14ac:dyDescent="0.25">
      <c r="A20" s="456">
        <f t="shared" si="0"/>
        <v>7</v>
      </c>
      <c r="B20" s="490">
        <f>B19+1</f>
        <v>2006</v>
      </c>
      <c r="C20" s="492">
        <v>104100</v>
      </c>
      <c r="D20" s="492">
        <v>35038.899999999994</v>
      </c>
      <c r="E20" s="492">
        <f t="shared" si="4"/>
        <v>-2400</v>
      </c>
      <c r="F20" s="465">
        <f t="shared" si="6"/>
        <v>136738.9</v>
      </c>
      <c r="G20" s="329"/>
      <c r="H20" s="490">
        <f t="shared" si="5"/>
        <v>2014</v>
      </c>
      <c r="I20" s="464">
        <v>49000</v>
      </c>
      <c r="J20" s="464">
        <v>10436.800000000003</v>
      </c>
      <c r="K20" s="492"/>
      <c r="L20" s="500">
        <f t="shared" si="7"/>
        <v>59436.800000000003</v>
      </c>
      <c r="M20" s="457">
        <f t="shared" si="1"/>
        <v>7</v>
      </c>
      <c r="N20" s="329"/>
      <c r="O20" s="370" t="s">
        <v>396</v>
      </c>
      <c r="P20" s="471" t="e">
        <f>P21-P19</f>
        <v>#REF!</v>
      </c>
      <c r="Q20" s="471"/>
      <c r="R20" s="370"/>
      <c r="S20" s="489">
        <v>136831.25</v>
      </c>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row>
    <row r="21" spans="1:44" x14ac:dyDescent="0.25">
      <c r="A21" s="456">
        <f t="shared" si="0"/>
        <v>8</v>
      </c>
      <c r="B21" s="490">
        <f>B20+1</f>
        <v>2007</v>
      </c>
      <c r="C21" s="492">
        <v>109700</v>
      </c>
      <c r="D21" s="492">
        <v>29266.299999999988</v>
      </c>
      <c r="E21" s="492">
        <f t="shared" si="4"/>
        <v>-2400</v>
      </c>
      <c r="F21" s="465">
        <f t="shared" si="6"/>
        <v>136566.29999999999</v>
      </c>
      <c r="G21" s="329"/>
      <c r="H21" s="490">
        <f t="shared" si="5"/>
        <v>2015</v>
      </c>
      <c r="I21" s="464">
        <v>50000</v>
      </c>
      <c r="J21" s="464">
        <v>9574.3999999999942</v>
      </c>
      <c r="K21" s="492"/>
      <c r="L21" s="500">
        <f t="shared" si="7"/>
        <v>59574.399999999994</v>
      </c>
      <c r="M21" s="457">
        <f t="shared" si="1"/>
        <v>8</v>
      </c>
      <c r="N21" s="329"/>
      <c r="O21" s="370" t="s">
        <v>397</v>
      </c>
      <c r="P21" s="471" t="e">
        <f>ROUNDUP(P19/0.95,-3)</f>
        <v>#REF!</v>
      </c>
      <c r="Q21" s="471"/>
      <c r="R21" s="370"/>
      <c r="S21" s="489">
        <v>141738.12</v>
      </c>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row>
    <row r="22" spans="1:44" x14ac:dyDescent="0.25">
      <c r="A22" s="456">
        <f t="shared" si="0"/>
        <v>9</v>
      </c>
      <c r="B22" s="490">
        <f t="shared" si="0"/>
        <v>2008</v>
      </c>
      <c r="C22" s="492">
        <v>115600</v>
      </c>
      <c r="D22" s="492">
        <v>23154.299999999988</v>
      </c>
      <c r="E22" s="492">
        <f t="shared" si="4"/>
        <v>-2400</v>
      </c>
      <c r="F22" s="465">
        <f t="shared" si="6"/>
        <v>136354.29999999999</v>
      </c>
      <c r="G22" s="329"/>
      <c r="H22" s="490">
        <f t="shared" si="5"/>
        <v>2016</v>
      </c>
      <c r="I22" s="464">
        <v>51000</v>
      </c>
      <c r="J22" s="464">
        <v>8694.3999999999942</v>
      </c>
      <c r="K22" s="492"/>
      <c r="L22" s="500">
        <f t="shared" si="7"/>
        <v>59694.399999999994</v>
      </c>
      <c r="M22" s="457">
        <f t="shared" si="1"/>
        <v>9</v>
      </c>
      <c r="N22" s="329"/>
      <c r="O22" s="370" t="s">
        <v>398</v>
      </c>
      <c r="P22" s="370">
        <v>0.05</v>
      </c>
      <c r="Q22" s="370"/>
      <c r="R22" s="370"/>
      <c r="S22" s="489">
        <v>146861.88</v>
      </c>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row>
    <row r="23" spans="1:44" x14ac:dyDescent="0.25">
      <c r="A23" s="456">
        <f t="shared" ref="A23:B38" si="8">A22+1</f>
        <v>10</v>
      </c>
      <c r="B23" s="490">
        <f t="shared" si="8"/>
        <v>2009</v>
      </c>
      <c r="C23" s="492">
        <v>121900</v>
      </c>
      <c r="D23" s="492">
        <v>18145.22</v>
      </c>
      <c r="E23" s="492">
        <f t="shared" si="4"/>
        <v>-2400</v>
      </c>
      <c r="F23" s="465">
        <f t="shared" si="6"/>
        <v>137645.22</v>
      </c>
      <c r="G23" s="329"/>
      <c r="H23" s="490">
        <f t="shared" si="5"/>
        <v>2017</v>
      </c>
      <c r="I23" s="464">
        <v>52000</v>
      </c>
      <c r="J23" s="464">
        <v>7796.8000000000029</v>
      </c>
      <c r="K23" s="492"/>
      <c r="L23" s="500">
        <f t="shared" si="7"/>
        <v>59796.800000000003</v>
      </c>
      <c r="M23" s="457">
        <f t="shared" si="1"/>
        <v>10</v>
      </c>
      <c r="N23" s="370"/>
      <c r="O23" s="370"/>
      <c r="P23" s="370"/>
      <c r="Q23" s="370"/>
      <c r="R23" s="370"/>
      <c r="S23" s="489">
        <v>152198.26999999999</v>
      </c>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row>
    <row r="24" spans="1:44" ht="15.75" thickBot="1" x14ac:dyDescent="0.3">
      <c r="A24" s="456">
        <f t="shared" si="8"/>
        <v>11</v>
      </c>
      <c r="B24" s="490">
        <f t="shared" si="8"/>
        <v>2010</v>
      </c>
      <c r="C24" s="492">
        <v>112200</v>
      </c>
      <c r="D24" s="492">
        <v>15585</v>
      </c>
      <c r="E24" s="492">
        <f t="shared" si="4"/>
        <v>-2400</v>
      </c>
      <c r="F24" s="465">
        <f t="shared" si="6"/>
        <v>125385</v>
      </c>
      <c r="G24" s="329"/>
      <c r="H24" s="490">
        <f t="shared" si="5"/>
        <v>2018</v>
      </c>
      <c r="I24" s="464">
        <v>53000</v>
      </c>
      <c r="J24" s="464">
        <v>6881.6000000000058</v>
      </c>
      <c r="K24" s="492"/>
      <c r="L24" s="500">
        <f t="shared" si="7"/>
        <v>59881.600000000006</v>
      </c>
      <c r="M24" s="457">
        <f t="shared" si="1"/>
        <v>11</v>
      </c>
      <c r="N24" s="370"/>
      <c r="O24" s="370">
        <v>2026</v>
      </c>
      <c r="P24" s="370"/>
      <c r="Q24" s="370"/>
      <c r="R24" s="427"/>
      <c r="S24" s="489">
        <v>157844.38</v>
      </c>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row>
    <row r="25" spans="1:44" x14ac:dyDescent="0.25">
      <c r="A25" s="456">
        <f t="shared" si="8"/>
        <v>12</v>
      </c>
      <c r="B25" s="501">
        <f t="shared" si="8"/>
        <v>2011</v>
      </c>
      <c r="C25" s="502">
        <v>118100</v>
      </c>
      <c r="D25" s="502">
        <v>14145.619999999995</v>
      </c>
      <c r="E25" s="502">
        <f t="shared" si="4"/>
        <v>-2400</v>
      </c>
      <c r="F25" s="503">
        <f t="shared" si="6"/>
        <v>129845.62</v>
      </c>
      <c r="G25" s="329"/>
      <c r="H25" s="490">
        <f t="shared" si="5"/>
        <v>2019</v>
      </c>
      <c r="I25" s="464">
        <v>54000</v>
      </c>
      <c r="J25" s="464">
        <v>5948.8000000000029</v>
      </c>
      <c r="K25" s="492"/>
      <c r="L25" s="500">
        <f t="shared" si="7"/>
        <v>59948.800000000003</v>
      </c>
      <c r="M25" s="457">
        <f t="shared" si="1"/>
        <v>12</v>
      </c>
      <c r="N25" s="370"/>
      <c r="O25" s="370" t="s">
        <v>395</v>
      </c>
      <c r="P25" s="471" t="e">
        <f>#REF!</f>
        <v>#REF!</v>
      </c>
      <c r="Q25" s="471"/>
      <c r="R25" s="370"/>
      <c r="S25" s="489">
        <v>163793.75</v>
      </c>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row>
    <row r="26" spans="1:44" x14ac:dyDescent="0.25">
      <c r="A26" s="456">
        <f t="shared" si="8"/>
        <v>13</v>
      </c>
      <c r="B26" s="494">
        <f t="shared" si="8"/>
        <v>2012</v>
      </c>
      <c r="C26" s="496">
        <v>124200</v>
      </c>
      <c r="D26" s="496">
        <v>12631.25</v>
      </c>
      <c r="E26" s="496">
        <f t="shared" si="4"/>
        <v>-2400</v>
      </c>
      <c r="F26" s="504">
        <f t="shared" si="6"/>
        <v>134431.25</v>
      </c>
      <c r="G26" s="329"/>
      <c r="H26" s="490">
        <f t="shared" si="5"/>
        <v>2020</v>
      </c>
      <c r="I26" s="464">
        <v>55000</v>
      </c>
      <c r="J26" s="464">
        <v>4998.3999999999942</v>
      </c>
      <c r="K26" s="492"/>
      <c r="L26" s="500">
        <f t="shared" si="7"/>
        <v>59998.399999999994</v>
      </c>
      <c r="M26" s="457">
        <f t="shared" si="1"/>
        <v>13</v>
      </c>
      <c r="N26" s="370"/>
      <c r="O26" s="370" t="s">
        <v>396</v>
      </c>
      <c r="P26" s="471" t="e">
        <f>P27-P25</f>
        <v>#REF!</v>
      </c>
      <c r="Q26" s="471"/>
      <c r="R26" s="370"/>
      <c r="S26" s="489">
        <v>170171.25</v>
      </c>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row>
    <row r="27" spans="1:44" x14ac:dyDescent="0.25">
      <c r="A27" s="456">
        <f t="shared" si="8"/>
        <v>14</v>
      </c>
      <c r="B27" s="490">
        <f t="shared" si="8"/>
        <v>2013</v>
      </c>
      <c r="C27" s="492">
        <v>130700</v>
      </c>
      <c r="D27" s="492">
        <v>11038.119999999995</v>
      </c>
      <c r="E27" s="492">
        <f t="shared" si="4"/>
        <v>-2400</v>
      </c>
      <c r="F27" s="465">
        <f t="shared" si="6"/>
        <v>139338.12</v>
      </c>
      <c r="G27" s="329"/>
      <c r="H27" s="490">
        <f t="shared" si="5"/>
        <v>2021</v>
      </c>
      <c r="I27" s="464">
        <v>56000</v>
      </c>
      <c r="J27" s="464">
        <v>4030.3999999999942</v>
      </c>
      <c r="K27" s="492"/>
      <c r="L27" s="500">
        <f t="shared" si="7"/>
        <v>60030.399999999994</v>
      </c>
      <c r="M27" s="457">
        <f t="shared" si="1"/>
        <v>14</v>
      </c>
      <c r="N27" s="370"/>
      <c r="O27" s="370" t="s">
        <v>397</v>
      </c>
      <c r="P27" s="471" t="e">
        <f>ROUNDUP(P25/0.95,-3)</f>
        <v>#REF!</v>
      </c>
      <c r="Q27" s="471"/>
      <c r="R27" s="370"/>
      <c r="S27" s="48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row>
    <row r="28" spans="1:44" x14ac:dyDescent="0.25">
      <c r="A28" s="456">
        <f t="shared" si="8"/>
        <v>15</v>
      </c>
      <c r="B28" s="490">
        <f t="shared" si="8"/>
        <v>2014</v>
      </c>
      <c r="C28" s="492">
        <v>137500</v>
      </c>
      <c r="D28" s="492">
        <v>9361.8800000000047</v>
      </c>
      <c r="E28" s="492">
        <f t="shared" si="4"/>
        <v>-2400</v>
      </c>
      <c r="F28" s="465">
        <f t="shared" si="6"/>
        <v>144461.88</v>
      </c>
      <c r="G28" s="329"/>
      <c r="H28" s="490">
        <f t="shared" si="5"/>
        <v>2022</v>
      </c>
      <c r="I28" s="464">
        <v>57000</v>
      </c>
      <c r="J28" s="464">
        <v>3044.8000000000029</v>
      </c>
      <c r="K28" s="492"/>
      <c r="L28" s="500">
        <f t="shared" si="7"/>
        <v>60044.800000000003</v>
      </c>
      <c r="M28" s="457">
        <f t="shared" si="1"/>
        <v>15</v>
      </c>
      <c r="N28" s="370"/>
      <c r="O28" s="370" t="s">
        <v>398</v>
      </c>
      <c r="P28" s="370">
        <v>0.05</v>
      </c>
      <c r="Q28" s="370"/>
      <c r="R28" s="505"/>
      <c r="S28" s="48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row>
    <row r="29" spans="1:44" x14ac:dyDescent="0.25">
      <c r="A29" s="456">
        <f t="shared" si="8"/>
        <v>16</v>
      </c>
      <c r="B29" s="490">
        <f t="shared" si="8"/>
        <v>2015</v>
      </c>
      <c r="C29" s="492">
        <v>144600</v>
      </c>
      <c r="D29" s="492">
        <v>7598.2699999999895</v>
      </c>
      <c r="E29" s="492">
        <f t="shared" si="4"/>
        <v>-2400</v>
      </c>
      <c r="F29" s="465">
        <f t="shared" si="6"/>
        <v>149798.26999999999</v>
      </c>
      <c r="G29" s="329"/>
      <c r="H29" s="490">
        <f t="shared" si="5"/>
        <v>2023</v>
      </c>
      <c r="I29" s="464">
        <v>57000</v>
      </c>
      <c r="J29" s="464">
        <v>2041.6000000000058</v>
      </c>
      <c r="K29" s="492"/>
      <c r="L29" s="500">
        <f t="shared" si="7"/>
        <v>59041.600000000006</v>
      </c>
      <c r="M29" s="457">
        <f t="shared" si="1"/>
        <v>16</v>
      </c>
      <c r="N29" s="370"/>
      <c r="O29" s="370"/>
      <c r="P29" s="370"/>
      <c r="Q29" s="370"/>
      <c r="R29" s="505"/>
      <c r="S29" s="506"/>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row>
    <row r="30" spans="1:44" x14ac:dyDescent="0.25">
      <c r="A30" s="456">
        <f t="shared" si="8"/>
        <v>17</v>
      </c>
      <c r="B30" s="490">
        <f t="shared" si="8"/>
        <v>2016</v>
      </c>
      <c r="C30" s="492">
        <v>152100</v>
      </c>
      <c r="D30" s="492">
        <v>5744.3800000000047</v>
      </c>
      <c r="E30" s="492">
        <f t="shared" si="4"/>
        <v>-2400</v>
      </c>
      <c r="F30" s="465">
        <f t="shared" si="6"/>
        <v>155444.38</v>
      </c>
      <c r="G30" s="329"/>
      <c r="H30" s="490">
        <f t="shared" si="5"/>
        <v>2024</v>
      </c>
      <c r="I30" s="464">
        <v>59000</v>
      </c>
      <c r="J30" s="464">
        <v>1038.3999999999942</v>
      </c>
      <c r="K30" s="492"/>
      <c r="L30" s="500">
        <f t="shared" si="7"/>
        <v>60038.399999999994</v>
      </c>
      <c r="M30" s="457">
        <f t="shared" si="1"/>
        <v>17</v>
      </c>
      <c r="N30" s="370"/>
      <c r="O30" s="370"/>
      <c r="P30" s="370"/>
      <c r="Q30" s="370"/>
      <c r="R30" s="370"/>
      <c r="S30" s="48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row>
    <row r="31" spans="1:44" x14ac:dyDescent="0.25">
      <c r="A31" s="456">
        <f t="shared" si="8"/>
        <v>18</v>
      </c>
      <c r="B31" s="490">
        <f t="shared" si="8"/>
        <v>2017</v>
      </c>
      <c r="C31" s="492">
        <v>160000</v>
      </c>
      <c r="D31" s="492">
        <v>3793.75</v>
      </c>
      <c r="E31" s="492">
        <f>-14728-2400</f>
        <v>-17128</v>
      </c>
      <c r="F31" s="465">
        <f t="shared" si="6"/>
        <v>146665.75</v>
      </c>
      <c r="G31" s="329"/>
      <c r="H31" s="369"/>
      <c r="I31" s="370"/>
      <c r="J31" s="299"/>
      <c r="K31" s="492"/>
      <c r="L31" s="500">
        <f t="shared" si="7"/>
        <v>0</v>
      </c>
      <c r="M31" s="457">
        <f t="shared" si="1"/>
        <v>18</v>
      </c>
      <c r="N31" s="370"/>
      <c r="O31" s="505">
        <f>F32/1.02</f>
        <v>0</v>
      </c>
      <c r="P31" s="370"/>
      <c r="Q31" s="370"/>
      <c r="R31" s="370"/>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row>
    <row r="32" spans="1:44" x14ac:dyDescent="0.25">
      <c r="A32" s="456">
        <f t="shared" si="8"/>
        <v>19</v>
      </c>
      <c r="B32" s="490">
        <f t="shared" si="8"/>
        <v>2018</v>
      </c>
      <c r="C32" s="492">
        <v>168400</v>
      </c>
      <c r="D32" s="492">
        <v>1771.25</v>
      </c>
      <c r="E32" s="492">
        <f>-(C32+D32)</f>
        <v>-170171.25</v>
      </c>
      <c r="F32" s="465">
        <f t="shared" si="6"/>
        <v>0</v>
      </c>
      <c r="G32" s="329"/>
      <c r="H32" s="369"/>
      <c r="I32" s="370"/>
      <c r="J32" s="299"/>
      <c r="K32" s="492"/>
      <c r="L32" s="500">
        <f t="shared" si="7"/>
        <v>0</v>
      </c>
      <c r="M32" s="457">
        <f t="shared" si="1"/>
        <v>19</v>
      </c>
      <c r="N32" s="370"/>
      <c r="O32" s="370"/>
      <c r="P32" s="370"/>
      <c r="Q32" s="370"/>
      <c r="R32" s="370"/>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row>
    <row r="33" spans="1:44" x14ac:dyDescent="0.25">
      <c r="A33" s="456">
        <f t="shared" si="8"/>
        <v>20</v>
      </c>
      <c r="B33" s="490">
        <f t="shared" si="8"/>
        <v>2019</v>
      </c>
      <c r="C33" s="492">
        <v>55100</v>
      </c>
      <c r="D33" s="492">
        <v>0</v>
      </c>
      <c r="E33" s="492">
        <f>-55100</f>
        <v>-55100</v>
      </c>
      <c r="F33" s="465">
        <f t="shared" si="6"/>
        <v>0</v>
      </c>
      <c r="G33" s="329"/>
      <c r="H33" s="369"/>
      <c r="I33" s="370"/>
      <c r="J33" s="299"/>
      <c r="K33" s="492"/>
      <c r="L33" s="500">
        <f t="shared" si="7"/>
        <v>0</v>
      </c>
      <c r="M33" s="457">
        <f t="shared" si="1"/>
        <v>20</v>
      </c>
      <c r="N33" s="370"/>
      <c r="O33" s="370"/>
      <c r="P33" s="370"/>
      <c r="Q33" s="370"/>
      <c r="R33" s="370"/>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row>
    <row r="34" spans="1:44" x14ac:dyDescent="0.25">
      <c r="A34" s="456">
        <f t="shared" si="8"/>
        <v>21</v>
      </c>
      <c r="B34" s="490">
        <f t="shared" si="8"/>
        <v>2020</v>
      </c>
      <c r="C34" s="492"/>
      <c r="D34" s="492"/>
      <c r="E34" s="492"/>
      <c r="F34" s="465">
        <f t="shared" si="6"/>
        <v>0</v>
      </c>
      <c r="G34" s="329"/>
      <c r="H34" s="369"/>
      <c r="I34" s="370"/>
      <c r="J34" s="299"/>
      <c r="K34" s="492"/>
      <c r="L34" s="500">
        <f t="shared" si="7"/>
        <v>0</v>
      </c>
      <c r="M34" s="457">
        <f t="shared" si="1"/>
        <v>21</v>
      </c>
      <c r="N34" s="370"/>
      <c r="O34" s="370">
        <v>55100</v>
      </c>
      <c r="P34" s="370"/>
      <c r="Q34" s="370"/>
      <c r="R34" s="370"/>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row>
    <row r="35" spans="1:44" x14ac:dyDescent="0.25">
      <c r="A35" s="456">
        <f t="shared" si="8"/>
        <v>22</v>
      </c>
      <c r="B35" s="490">
        <f t="shared" si="8"/>
        <v>2021</v>
      </c>
      <c r="C35" s="492"/>
      <c r="D35" s="492"/>
      <c r="E35" s="492"/>
      <c r="F35" s="465">
        <f t="shared" si="6"/>
        <v>0</v>
      </c>
      <c r="G35" s="329"/>
      <c r="H35" s="369"/>
      <c r="I35" s="370"/>
      <c r="J35" s="299"/>
      <c r="K35" s="492"/>
      <c r="L35" s="500">
        <f t="shared" si="7"/>
        <v>0</v>
      </c>
      <c r="M35" s="457">
        <f t="shared" si="1"/>
        <v>22</v>
      </c>
      <c r="N35" s="370"/>
      <c r="O35" s="507">
        <f>-E32</f>
        <v>170171.25</v>
      </c>
      <c r="P35" s="370"/>
      <c r="Q35" s="370"/>
      <c r="R35" s="370">
        <v>2006</v>
      </c>
      <c r="S35" s="370">
        <v>2007</v>
      </c>
      <c r="T35" s="370">
        <v>2008</v>
      </c>
      <c r="U35" s="370">
        <v>2009</v>
      </c>
      <c r="V35" s="370">
        <v>2010</v>
      </c>
      <c r="W35" s="370">
        <v>2011</v>
      </c>
      <c r="X35" s="370">
        <v>2012</v>
      </c>
      <c r="Y35" s="370">
        <v>2013</v>
      </c>
      <c r="Z35" s="370">
        <v>2014</v>
      </c>
      <c r="AA35" s="370">
        <v>2015</v>
      </c>
      <c r="AB35" s="370">
        <v>2016</v>
      </c>
      <c r="AC35" s="370">
        <v>2017</v>
      </c>
      <c r="AD35" s="370">
        <v>2018</v>
      </c>
      <c r="AE35" s="370">
        <v>2019</v>
      </c>
      <c r="AF35" s="370">
        <v>2020</v>
      </c>
      <c r="AG35" s="370">
        <v>2021</v>
      </c>
      <c r="AH35" s="370">
        <v>2022</v>
      </c>
      <c r="AI35" s="370">
        <v>2023</v>
      </c>
      <c r="AJ35" s="370">
        <v>2024</v>
      </c>
      <c r="AK35" s="370">
        <v>2025</v>
      </c>
      <c r="AL35" s="370">
        <v>2026</v>
      </c>
      <c r="AM35" s="370">
        <v>2027</v>
      </c>
      <c r="AN35" s="370">
        <v>2028</v>
      </c>
      <c r="AO35" s="370">
        <v>2029</v>
      </c>
      <c r="AP35" s="370">
        <v>2030</v>
      </c>
      <c r="AQ35" s="370"/>
      <c r="AR35" s="370"/>
    </row>
    <row r="36" spans="1:44" x14ac:dyDescent="0.25">
      <c r="A36" s="456">
        <f t="shared" si="8"/>
        <v>23</v>
      </c>
      <c r="B36" s="490">
        <f t="shared" si="8"/>
        <v>2022</v>
      </c>
      <c r="C36" s="492"/>
      <c r="D36" s="492"/>
      <c r="E36" s="492"/>
      <c r="F36" s="465">
        <f t="shared" si="6"/>
        <v>0</v>
      </c>
      <c r="G36" s="329"/>
      <c r="H36" s="490"/>
      <c r="I36" s="464"/>
      <c r="J36" s="464"/>
      <c r="K36" s="492"/>
      <c r="L36" s="500">
        <f t="shared" si="7"/>
        <v>0</v>
      </c>
      <c r="M36" s="457">
        <f t="shared" si="1"/>
        <v>23</v>
      </c>
      <c r="N36" s="370"/>
      <c r="O36" s="370">
        <f>SUM(O34:O35)</f>
        <v>225271.25</v>
      </c>
      <c r="P36" s="370"/>
      <c r="Q36" s="370"/>
      <c r="R36" s="444">
        <f>-F20</f>
        <v>-136738.9</v>
      </c>
      <c r="S36" s="444">
        <f>-F21</f>
        <v>-136566.29999999999</v>
      </c>
      <c r="T36" s="444">
        <f>-F22</f>
        <v>-136354.29999999999</v>
      </c>
      <c r="U36" s="444">
        <f>-F23</f>
        <v>-137645.22</v>
      </c>
      <c r="V36" s="444">
        <f>-F24</f>
        <v>-125385</v>
      </c>
      <c r="W36" s="444">
        <f>-F25</f>
        <v>-129845.62</v>
      </c>
      <c r="X36" s="444">
        <f>-F26</f>
        <v>-134431.25</v>
      </c>
      <c r="Y36" s="444">
        <f>-F27</f>
        <v>-139338.12</v>
      </c>
      <c r="Z36" s="444">
        <f>-F28</f>
        <v>-144461.88</v>
      </c>
      <c r="AA36" s="444">
        <f>-F29</f>
        <v>-149798.26999999999</v>
      </c>
      <c r="AB36" s="444">
        <f>-F30</f>
        <v>-155444.38</v>
      </c>
      <c r="AC36" s="444">
        <f>-F31</f>
        <v>-146665.75</v>
      </c>
      <c r="AD36" s="444">
        <f>-F32</f>
        <v>0</v>
      </c>
      <c r="AE36" s="444">
        <f>-F33</f>
        <v>0</v>
      </c>
      <c r="AF36" s="444">
        <f>-F34</f>
        <v>0</v>
      </c>
      <c r="AG36" s="444">
        <f>-F35</f>
        <v>0</v>
      </c>
      <c r="AH36" s="444">
        <f>-F36</f>
        <v>0</v>
      </c>
      <c r="AI36" s="444">
        <f>-F37</f>
        <v>0</v>
      </c>
      <c r="AJ36" s="444"/>
      <c r="AK36" s="329"/>
      <c r="AL36" s="329"/>
      <c r="AM36" s="329"/>
      <c r="AN36" s="329"/>
      <c r="AO36" s="329"/>
      <c r="AP36" s="329"/>
      <c r="AQ36" s="329"/>
      <c r="AR36" s="329"/>
    </row>
    <row r="37" spans="1:44" x14ac:dyDescent="0.25">
      <c r="A37" s="456">
        <f t="shared" si="8"/>
        <v>24</v>
      </c>
      <c r="B37" s="490">
        <f>B36+1</f>
        <v>2023</v>
      </c>
      <c r="C37" s="492"/>
      <c r="D37" s="492"/>
      <c r="E37" s="464"/>
      <c r="F37" s="465">
        <f t="shared" si="6"/>
        <v>0</v>
      </c>
      <c r="G37" s="489"/>
      <c r="H37" s="490"/>
      <c r="I37" s="464"/>
      <c r="J37" s="464"/>
      <c r="K37" s="464"/>
      <c r="L37" s="500">
        <f t="shared" si="7"/>
        <v>0</v>
      </c>
      <c r="M37" s="457">
        <f t="shared" si="1"/>
        <v>24</v>
      </c>
      <c r="N37" s="370"/>
      <c r="O37" s="370"/>
      <c r="P37" s="370"/>
      <c r="Q37" s="370"/>
      <c r="R37" s="508">
        <v>0</v>
      </c>
      <c r="S37" s="508">
        <v>0</v>
      </c>
      <c r="T37" s="508">
        <v>0</v>
      </c>
      <c r="U37" s="508">
        <v>0</v>
      </c>
      <c r="V37" s="508">
        <v>0</v>
      </c>
      <c r="W37" s="508">
        <f>-L17</f>
        <v>-59540</v>
      </c>
      <c r="X37" s="508">
        <f>-L18</f>
        <v>-60126.399999999994</v>
      </c>
      <c r="Y37" s="508">
        <f>-L19</f>
        <v>-59281.600000000006</v>
      </c>
      <c r="Z37" s="508">
        <f>-L20</f>
        <v>-59436.800000000003</v>
      </c>
      <c r="AA37" s="508">
        <f>-L21</f>
        <v>-59574.399999999994</v>
      </c>
      <c r="AB37" s="508">
        <f>-L22</f>
        <v>-59694.399999999994</v>
      </c>
      <c r="AC37" s="508">
        <f>-L23</f>
        <v>-59796.800000000003</v>
      </c>
      <c r="AD37" s="508">
        <f>-L24</f>
        <v>-59881.600000000006</v>
      </c>
      <c r="AE37" s="508">
        <f>-L25</f>
        <v>-59948.800000000003</v>
      </c>
      <c r="AF37" s="508">
        <f>-L26</f>
        <v>-59998.399999999994</v>
      </c>
      <c r="AG37" s="508">
        <f>-L27</f>
        <v>-60030.399999999994</v>
      </c>
      <c r="AH37" s="508">
        <f>-L28</f>
        <v>-60044.800000000003</v>
      </c>
      <c r="AI37" s="508">
        <f>-L29</f>
        <v>-59041.600000000006</v>
      </c>
      <c r="AJ37" s="508"/>
      <c r="AK37" s="508"/>
      <c r="AL37" s="508"/>
      <c r="AM37" s="329"/>
      <c r="AN37" s="329"/>
      <c r="AO37" s="329"/>
      <c r="AP37" s="329"/>
      <c r="AQ37" s="329"/>
      <c r="AR37" s="329"/>
    </row>
    <row r="38" spans="1:44" ht="15.75" thickBot="1" x14ac:dyDescent="0.3">
      <c r="A38" s="456">
        <f t="shared" si="8"/>
        <v>25</v>
      </c>
      <c r="B38" s="509"/>
      <c r="C38" s="510">
        <f>SUM(C17:C37)</f>
        <v>2035700</v>
      </c>
      <c r="D38" s="510">
        <f>SUM(D17:D37)</f>
        <v>324009.28999999992</v>
      </c>
      <c r="E38" s="510">
        <f>SUM(E17:E37)</f>
        <v>-275999.25</v>
      </c>
      <c r="F38" s="511">
        <f>SUM(F17:F37)</f>
        <v>2083710.04</v>
      </c>
      <c r="G38" s="512"/>
      <c r="H38" s="509"/>
      <c r="I38" s="510">
        <f>SUM(I17:I37)</f>
        <v>736000</v>
      </c>
      <c r="J38" s="510">
        <f>SUM(J17:J37)</f>
        <v>100434.4</v>
      </c>
      <c r="K38" s="510">
        <f>SUM(K17:K37)</f>
        <v>0</v>
      </c>
      <c r="L38" s="511">
        <f>SUM(L17:L37)</f>
        <v>836434.40000000014</v>
      </c>
      <c r="M38" s="457">
        <f t="shared" si="1"/>
        <v>25</v>
      </c>
      <c r="N38" s="370"/>
      <c r="O38" s="370">
        <v>240000</v>
      </c>
      <c r="P38" s="513">
        <f>AVERAGE(F17:F31)+AVERAGE(L17:L30)</f>
        <v>198659.31695238096</v>
      </c>
      <c r="Q38" s="370"/>
      <c r="R38" s="370">
        <v>0</v>
      </c>
      <c r="S38" s="370">
        <v>0</v>
      </c>
      <c r="T38" s="370">
        <v>0</v>
      </c>
      <c r="U38" s="370">
        <v>0</v>
      </c>
      <c r="V38" s="370">
        <v>0</v>
      </c>
      <c r="W38" s="508">
        <f>-F43</f>
        <v>-376086</v>
      </c>
      <c r="X38" s="508">
        <f>-F44</f>
        <v>-429813</v>
      </c>
      <c r="Y38" s="508">
        <f>-F45</f>
        <v>-549734</v>
      </c>
      <c r="Z38" s="508">
        <f>-F46</f>
        <v>-549172</v>
      </c>
      <c r="AA38" s="508">
        <f>-F47</f>
        <v>-552594</v>
      </c>
      <c r="AB38" s="508">
        <f>-F48</f>
        <v>-550000</v>
      </c>
      <c r="AC38" s="508">
        <f>-F49</f>
        <v>-546594</v>
      </c>
      <c r="AD38" s="508">
        <f>-F50</f>
        <v>-547172</v>
      </c>
      <c r="AE38" s="508">
        <f>-F51</f>
        <v>-546531</v>
      </c>
      <c r="AF38" s="508">
        <f>-F52</f>
        <v>-549469</v>
      </c>
      <c r="AG38" s="508">
        <f>-F53</f>
        <v>-545984</v>
      </c>
      <c r="AH38" s="508">
        <f>-F54</f>
        <v>-546078</v>
      </c>
      <c r="AI38" s="508">
        <f>-F55</f>
        <v>-544547</v>
      </c>
      <c r="AJ38" s="508">
        <f>-F56</f>
        <v>-546188</v>
      </c>
      <c r="AK38" s="508">
        <f>-F57</f>
        <v>-541000</v>
      </c>
      <c r="AL38" s="508">
        <f>-F58</f>
        <v>-543781</v>
      </c>
      <c r="AM38" s="508">
        <f>-F59</f>
        <v>-539328</v>
      </c>
      <c r="AN38" s="508">
        <f>-F60</f>
        <v>-537641</v>
      </c>
      <c r="AO38" s="508"/>
      <c r="AP38" s="508"/>
      <c r="AQ38" s="508"/>
      <c r="AR38" s="329"/>
    </row>
    <row r="39" spans="1:44" x14ac:dyDescent="0.25">
      <c r="A39" s="456">
        <f t="shared" ref="A39:B54" si="9">A38+1</f>
        <v>26</v>
      </c>
      <c r="B39" s="370"/>
      <c r="C39" s="370"/>
      <c r="D39" s="299"/>
      <c r="E39" s="299"/>
      <c r="F39" s="370"/>
      <c r="G39" s="370"/>
      <c r="H39" s="370"/>
      <c r="I39" s="370"/>
      <c r="J39" s="299"/>
      <c r="K39" s="299"/>
      <c r="L39" s="370"/>
      <c r="M39" s="457">
        <f t="shared" si="1"/>
        <v>26</v>
      </c>
      <c r="N39" s="329"/>
      <c r="O39" s="329">
        <f>O38-O36</f>
        <v>14728.75</v>
      </c>
      <c r="P39" s="514">
        <f>P38/1535</f>
        <v>129.41975045757718</v>
      </c>
      <c r="Q39" s="329"/>
      <c r="R39" s="370">
        <v>0</v>
      </c>
      <c r="S39" s="370">
        <v>0</v>
      </c>
      <c r="T39" s="370">
        <v>0</v>
      </c>
      <c r="U39" s="370">
        <v>0</v>
      </c>
      <c r="V39" s="370">
        <v>0</v>
      </c>
      <c r="W39" s="508">
        <f>-L43</f>
        <v>-45998.25</v>
      </c>
      <c r="X39" s="508">
        <f>-L44</f>
        <v>-46176.7</v>
      </c>
      <c r="Y39" s="508">
        <f>-L45</f>
        <v>-46519.4</v>
      </c>
      <c r="Z39" s="508">
        <f>-L46</f>
        <v>-46764.800000000003</v>
      </c>
      <c r="AA39" s="508">
        <f>-L47</f>
        <v>-45904.6</v>
      </c>
      <c r="AB39" s="508">
        <f>-L48</f>
        <v>-45977.7</v>
      </c>
      <c r="AC39" s="508">
        <f>-L49</f>
        <v>-45914.5</v>
      </c>
      <c r="AD39" s="508">
        <f>-L50</f>
        <v>-46707</v>
      </c>
      <c r="AE39" s="508">
        <f>-L51</f>
        <v>-46321.9</v>
      </c>
      <c r="AF39" s="508">
        <f>-L52</f>
        <v>-46801.5</v>
      </c>
      <c r="AG39" s="508">
        <f>-L53</f>
        <v>-46112.5</v>
      </c>
      <c r="AH39" s="508">
        <f>-L54</f>
        <v>-45863.199999999997</v>
      </c>
      <c r="AI39" s="508">
        <f>-L55</f>
        <v>-46573.599999999999</v>
      </c>
      <c r="AJ39" s="508">
        <f>-L56</f>
        <v>-46203.4</v>
      </c>
      <c r="AK39" s="508">
        <f>-L57</f>
        <v>-46792.9</v>
      </c>
      <c r="AL39" s="508">
        <f>-L58</f>
        <v>-46301.8</v>
      </c>
      <c r="AM39" s="508">
        <f>-L59</f>
        <v>-46770.400000000001</v>
      </c>
      <c r="AN39" s="508">
        <f>-L60</f>
        <v>-46158.400000000001</v>
      </c>
      <c r="AO39" s="508">
        <f>-L61</f>
        <v>-46506.1</v>
      </c>
      <c r="AP39" s="508">
        <f>-L62</f>
        <v>-45773.2</v>
      </c>
      <c r="AQ39" s="508"/>
      <c r="AR39" s="508"/>
    </row>
    <row r="40" spans="1:44" x14ac:dyDescent="0.25">
      <c r="A40" s="456">
        <f t="shared" si="9"/>
        <v>27</v>
      </c>
      <c r="B40" s="515"/>
      <c r="C40" s="516"/>
      <c r="D40" s="516"/>
      <c r="E40" s="516"/>
      <c r="F40" s="516"/>
      <c r="G40" s="370"/>
      <c r="H40" s="515"/>
      <c r="I40" s="516"/>
      <c r="J40" s="516"/>
      <c r="K40" s="516"/>
      <c r="L40" s="516"/>
      <c r="M40" s="457">
        <f t="shared" si="1"/>
        <v>27</v>
      </c>
      <c r="N40" s="370"/>
      <c r="O40" s="370"/>
      <c r="P40" s="517">
        <f>P39/12</f>
        <v>10.784979204798098</v>
      </c>
      <c r="Q40" s="370"/>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row>
    <row r="41" spans="1:44" ht="15.75" thickBot="1" x14ac:dyDescent="0.3">
      <c r="A41" s="456">
        <f t="shared" si="9"/>
        <v>28</v>
      </c>
      <c r="B41" s="985" t="s">
        <v>404</v>
      </c>
      <c r="C41" s="985"/>
      <c r="D41" s="985"/>
      <c r="E41" s="985"/>
      <c r="F41" s="985"/>
      <c r="G41" s="370"/>
      <c r="H41" s="985" t="s">
        <v>405</v>
      </c>
      <c r="I41" s="985"/>
      <c r="J41" s="985"/>
      <c r="K41" s="985"/>
      <c r="L41" s="985"/>
      <c r="M41" s="457">
        <f t="shared" si="1"/>
        <v>28</v>
      </c>
      <c r="N41" s="370"/>
      <c r="O41" s="370"/>
      <c r="P41" s="370"/>
      <c r="Q41" s="370"/>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row>
    <row r="42" spans="1:44" x14ac:dyDescent="0.25">
      <c r="A42" s="456">
        <f t="shared" si="9"/>
        <v>29</v>
      </c>
      <c r="B42" s="461"/>
      <c r="C42" s="487" t="s">
        <v>85</v>
      </c>
      <c r="D42" s="487" t="s">
        <v>291</v>
      </c>
      <c r="E42" s="487" t="s">
        <v>402</v>
      </c>
      <c r="F42" s="518" t="s">
        <v>403</v>
      </c>
      <c r="G42" s="329"/>
      <c r="H42" s="461"/>
      <c r="I42" s="487" t="s">
        <v>85</v>
      </c>
      <c r="J42" s="487" t="s">
        <v>291</v>
      </c>
      <c r="K42" s="487" t="s">
        <v>402</v>
      </c>
      <c r="L42" s="518" t="s">
        <v>403</v>
      </c>
      <c r="M42" s="457">
        <f t="shared" si="1"/>
        <v>29</v>
      </c>
      <c r="N42" s="370"/>
      <c r="O42" s="471">
        <f>SUM(F26:F31)</f>
        <v>870139.65</v>
      </c>
      <c r="P42" s="471"/>
      <c r="Q42" s="471"/>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row>
    <row r="43" spans="1:44" x14ac:dyDescent="0.25">
      <c r="A43" s="456">
        <f t="shared" si="9"/>
        <v>30</v>
      </c>
      <c r="B43" s="519">
        <v>2011</v>
      </c>
      <c r="C43" s="520">
        <v>0</v>
      </c>
      <c r="D43" s="520">
        <v>376086</v>
      </c>
      <c r="E43" s="491"/>
      <c r="F43" s="521">
        <f>SUM(C43:E43)</f>
        <v>376086</v>
      </c>
      <c r="G43" s="370"/>
      <c r="H43" s="519">
        <v>2011</v>
      </c>
      <c r="I43" s="522">
        <v>26000</v>
      </c>
      <c r="J43" s="522">
        <v>19998.25</v>
      </c>
      <c r="K43" s="522"/>
      <c r="L43" s="523">
        <f>SUM(I43:K43)</f>
        <v>45998.25</v>
      </c>
      <c r="M43" s="457">
        <f t="shared" si="1"/>
        <v>30</v>
      </c>
      <c r="N43" s="370"/>
      <c r="O43" s="370"/>
      <c r="P43" s="471"/>
      <c r="Q43" s="471"/>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row>
    <row r="44" spans="1:44" x14ac:dyDescent="0.25">
      <c r="A44" s="456">
        <f t="shared" si="9"/>
        <v>31</v>
      </c>
      <c r="B44" s="524">
        <f t="shared" si="9"/>
        <v>2012</v>
      </c>
      <c r="C44" s="498">
        <v>0</v>
      </c>
      <c r="D44" s="498">
        <v>429813</v>
      </c>
      <c r="E44" s="496"/>
      <c r="F44" s="504">
        <f>SUM(C44:E44)</f>
        <v>429813</v>
      </c>
      <c r="G44" s="329"/>
      <c r="H44" s="524">
        <f t="shared" ref="H44:H63" si="10">H43+1</f>
        <v>2012</v>
      </c>
      <c r="I44" s="496">
        <v>21000</v>
      </c>
      <c r="J44" s="496">
        <v>25176.7</v>
      </c>
      <c r="K44" s="496"/>
      <c r="L44" s="499">
        <f>SUM(I44:K44)</f>
        <v>46176.7</v>
      </c>
      <c r="M44" s="457">
        <f t="shared" si="1"/>
        <v>31</v>
      </c>
      <c r="N44" s="370"/>
      <c r="O44" s="370" t="s">
        <v>406</v>
      </c>
      <c r="P44" s="471"/>
      <c r="Q44" s="471" t="s">
        <v>85</v>
      </c>
      <c r="R44" s="329"/>
      <c r="S44" s="329" t="s">
        <v>398</v>
      </c>
      <c r="T44" s="329"/>
      <c r="U44" s="329" t="s">
        <v>291</v>
      </c>
      <c r="V44" s="329"/>
      <c r="W44" s="329" t="s">
        <v>407</v>
      </c>
      <c r="X44" s="329"/>
      <c r="Y44" s="329"/>
      <c r="Z44" s="329"/>
      <c r="AA44" s="329"/>
      <c r="AB44" s="329"/>
      <c r="AC44" s="329"/>
      <c r="AD44" s="329"/>
      <c r="AE44" s="329"/>
      <c r="AF44" s="329"/>
      <c r="AG44" s="329"/>
      <c r="AH44" s="329"/>
      <c r="AI44" s="329"/>
      <c r="AJ44" s="329"/>
      <c r="AK44" s="329"/>
      <c r="AL44" s="329"/>
      <c r="AM44" s="329"/>
      <c r="AN44" s="329"/>
      <c r="AO44" s="329"/>
      <c r="AP44" s="329"/>
      <c r="AQ44" s="329"/>
      <c r="AR44" s="329"/>
    </row>
    <row r="45" spans="1:44" x14ac:dyDescent="0.25">
      <c r="A45" s="456">
        <f t="shared" si="9"/>
        <v>32</v>
      </c>
      <c r="B45" s="519">
        <f t="shared" si="9"/>
        <v>2013</v>
      </c>
      <c r="C45" s="464">
        <v>125000</v>
      </c>
      <c r="D45" s="464">
        <v>424734</v>
      </c>
      <c r="E45" s="492"/>
      <c r="F45" s="465">
        <f t="shared" ref="F45:F63" si="11">SUM(C45:E45)</f>
        <v>549734</v>
      </c>
      <c r="G45" s="329"/>
      <c r="H45" s="519">
        <f t="shared" si="10"/>
        <v>2013</v>
      </c>
      <c r="I45" s="492">
        <v>22000</v>
      </c>
      <c r="J45" s="492">
        <v>24519.4</v>
      </c>
      <c r="K45" s="492"/>
      <c r="L45" s="500">
        <f t="shared" ref="L45:L63" si="12">SUM(I45:K45)</f>
        <v>46519.4</v>
      </c>
      <c r="M45" s="457">
        <f t="shared" si="1"/>
        <v>32</v>
      </c>
      <c r="N45" s="370"/>
      <c r="O45" s="370"/>
      <c r="P45" s="370"/>
      <c r="Q45" s="370"/>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row>
    <row r="46" spans="1:44" x14ac:dyDescent="0.25">
      <c r="A46" s="456">
        <f t="shared" si="9"/>
        <v>33</v>
      </c>
      <c r="B46" s="519">
        <f t="shared" si="9"/>
        <v>2014</v>
      </c>
      <c r="C46" s="464">
        <v>135000</v>
      </c>
      <c r="D46" s="464">
        <v>414172</v>
      </c>
      <c r="E46" s="492"/>
      <c r="F46" s="465">
        <f t="shared" si="11"/>
        <v>549172</v>
      </c>
      <c r="G46" s="329"/>
      <c r="H46" s="519">
        <f t="shared" si="10"/>
        <v>2014</v>
      </c>
      <c r="I46" s="492">
        <v>23000</v>
      </c>
      <c r="J46" s="492">
        <v>23764.799999999999</v>
      </c>
      <c r="K46" s="492"/>
      <c r="L46" s="500">
        <f t="shared" si="12"/>
        <v>46764.800000000003</v>
      </c>
      <c r="M46" s="457">
        <f t="shared" si="1"/>
        <v>33</v>
      </c>
      <c r="N46" s="525"/>
      <c r="O46" s="525"/>
      <c r="P46" s="525"/>
      <c r="Q46" s="370"/>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row>
    <row r="47" spans="1:44" x14ac:dyDescent="0.25">
      <c r="A47" s="456">
        <f t="shared" si="9"/>
        <v>34</v>
      </c>
      <c r="B47" s="519">
        <f t="shared" si="9"/>
        <v>2015</v>
      </c>
      <c r="C47" s="464">
        <v>150000</v>
      </c>
      <c r="D47" s="464">
        <v>402594</v>
      </c>
      <c r="E47" s="492"/>
      <c r="F47" s="465">
        <f t="shared" si="11"/>
        <v>552594</v>
      </c>
      <c r="G47" s="329"/>
      <c r="H47" s="519">
        <f t="shared" si="10"/>
        <v>2015</v>
      </c>
      <c r="I47" s="492">
        <v>23000</v>
      </c>
      <c r="J47" s="492">
        <v>22904.6</v>
      </c>
      <c r="K47" s="492"/>
      <c r="L47" s="500">
        <f t="shared" si="12"/>
        <v>45904.6</v>
      </c>
      <c r="M47" s="457">
        <f t="shared" si="1"/>
        <v>34</v>
      </c>
      <c r="N47" s="525"/>
      <c r="O47" s="370">
        <v>40892</v>
      </c>
      <c r="P47" s="370"/>
      <c r="Q47" s="370">
        <v>26000</v>
      </c>
      <c r="R47" s="329"/>
      <c r="S47" s="329">
        <v>3.13</v>
      </c>
      <c r="T47" s="329"/>
      <c r="U47" s="329">
        <v>19998.25</v>
      </c>
      <c r="V47" s="329"/>
      <c r="W47" s="329">
        <v>45998.25</v>
      </c>
      <c r="X47" s="329"/>
      <c r="Y47" s="329">
        <v>89100</v>
      </c>
      <c r="Z47" s="329"/>
      <c r="AA47" s="329">
        <v>5.0999999999999996</v>
      </c>
      <c r="AB47" s="329"/>
      <c r="AC47" s="329">
        <v>56606.35</v>
      </c>
      <c r="AD47" s="329"/>
      <c r="AE47" s="329">
        <v>145706.35</v>
      </c>
      <c r="AF47" s="329"/>
      <c r="AG47" s="329"/>
      <c r="AH47" s="329"/>
      <c r="AI47" s="329"/>
      <c r="AJ47" s="329"/>
      <c r="AK47" s="329"/>
      <c r="AL47" s="329"/>
      <c r="AM47" s="329"/>
      <c r="AN47" s="329"/>
      <c r="AO47" s="329"/>
      <c r="AP47" s="329"/>
      <c r="AQ47" s="329"/>
      <c r="AR47" s="329"/>
    </row>
    <row r="48" spans="1:44" x14ac:dyDescent="0.25">
      <c r="A48" s="456">
        <f t="shared" si="9"/>
        <v>35</v>
      </c>
      <c r="B48" s="519">
        <f t="shared" si="9"/>
        <v>2016</v>
      </c>
      <c r="C48" s="464">
        <v>160000</v>
      </c>
      <c r="D48" s="464">
        <v>390000</v>
      </c>
      <c r="E48" s="492"/>
      <c r="F48" s="465">
        <f t="shared" si="11"/>
        <v>550000</v>
      </c>
      <c r="G48" s="329"/>
      <c r="H48" s="519">
        <f t="shared" si="10"/>
        <v>2016</v>
      </c>
      <c r="I48" s="492">
        <v>24000</v>
      </c>
      <c r="J48" s="492">
        <v>21977.7</v>
      </c>
      <c r="K48" s="492"/>
      <c r="L48" s="500">
        <f t="shared" si="12"/>
        <v>45977.7</v>
      </c>
      <c r="M48" s="457">
        <f t="shared" si="1"/>
        <v>35</v>
      </c>
      <c r="N48" s="370"/>
      <c r="O48" s="370">
        <v>41258</v>
      </c>
      <c r="P48" s="471"/>
      <c r="Q48" s="471">
        <v>21000</v>
      </c>
      <c r="R48" s="329"/>
      <c r="S48" s="329">
        <v>3.13</v>
      </c>
      <c r="T48" s="329"/>
      <c r="U48" s="329">
        <v>25176.7</v>
      </c>
      <c r="V48" s="329"/>
      <c r="W48" s="329">
        <v>46176.7</v>
      </c>
      <c r="X48" s="329"/>
      <c r="Y48" s="329">
        <v>93700</v>
      </c>
      <c r="Z48" s="329"/>
      <c r="AA48" s="329">
        <v>5.4</v>
      </c>
      <c r="AB48" s="329"/>
      <c r="AC48" s="329">
        <v>108668.6</v>
      </c>
      <c r="AD48" s="329"/>
      <c r="AE48" s="329">
        <v>202368.6</v>
      </c>
      <c r="AF48" s="329"/>
      <c r="AG48" s="329"/>
      <c r="AH48" s="329"/>
      <c r="AI48" s="329"/>
      <c r="AJ48" s="329"/>
      <c r="AK48" s="329"/>
      <c r="AL48" s="329"/>
      <c r="AM48" s="329"/>
      <c r="AN48" s="329"/>
      <c r="AO48" s="329"/>
      <c r="AP48" s="329"/>
      <c r="AQ48" s="329"/>
      <c r="AR48" s="329"/>
    </row>
    <row r="49" spans="1:44" x14ac:dyDescent="0.25">
      <c r="A49" s="456">
        <f t="shared" si="9"/>
        <v>36</v>
      </c>
      <c r="B49" s="519">
        <f t="shared" si="9"/>
        <v>2017</v>
      </c>
      <c r="C49" s="464">
        <v>170000</v>
      </c>
      <c r="D49" s="464">
        <v>376594</v>
      </c>
      <c r="E49" s="492"/>
      <c r="F49" s="465">
        <f t="shared" si="11"/>
        <v>546594</v>
      </c>
      <c r="G49" s="329"/>
      <c r="H49" s="519">
        <f t="shared" si="10"/>
        <v>2017</v>
      </c>
      <c r="I49" s="492">
        <v>25000</v>
      </c>
      <c r="J49" s="492">
        <v>20914.5</v>
      </c>
      <c r="K49" s="492"/>
      <c r="L49" s="500">
        <f t="shared" si="12"/>
        <v>45914.5</v>
      </c>
      <c r="M49" s="457">
        <f t="shared" si="1"/>
        <v>36</v>
      </c>
      <c r="N49" s="370"/>
      <c r="O49" s="370">
        <v>41623</v>
      </c>
      <c r="P49" s="471"/>
      <c r="Q49" s="471">
        <v>22000</v>
      </c>
      <c r="R49" s="329"/>
      <c r="S49" s="329">
        <v>3.43</v>
      </c>
      <c r="T49" s="329"/>
      <c r="U49" s="329">
        <v>24519.4</v>
      </c>
      <c r="V49" s="329"/>
      <c r="W49" s="329">
        <v>46519.399999999987</v>
      </c>
      <c r="X49" s="329"/>
      <c r="Y49" s="329">
        <v>98700</v>
      </c>
      <c r="Z49" s="329"/>
      <c r="AA49" s="329">
        <v>5.4</v>
      </c>
      <c r="AB49" s="329"/>
      <c r="AC49" s="329">
        <v>103608.8</v>
      </c>
      <c r="AD49" s="329"/>
      <c r="AE49" s="329">
        <v>202308.8</v>
      </c>
      <c r="AF49" s="329"/>
      <c r="AG49" s="329"/>
      <c r="AH49" s="329"/>
      <c r="AI49" s="329"/>
      <c r="AJ49" s="329"/>
      <c r="AK49" s="329"/>
      <c r="AL49" s="329"/>
      <c r="AM49" s="329"/>
      <c r="AN49" s="329"/>
      <c r="AO49" s="329"/>
      <c r="AP49" s="329"/>
      <c r="AQ49" s="329"/>
      <c r="AR49" s="329"/>
    </row>
    <row r="50" spans="1:44" x14ac:dyDescent="0.25">
      <c r="A50" s="456">
        <f t="shared" si="9"/>
        <v>37</v>
      </c>
      <c r="B50" s="519">
        <f t="shared" si="9"/>
        <v>2018</v>
      </c>
      <c r="C50" s="464">
        <v>185000</v>
      </c>
      <c r="D50" s="464">
        <v>362172</v>
      </c>
      <c r="E50" s="492"/>
      <c r="F50" s="465">
        <f t="shared" si="11"/>
        <v>547172</v>
      </c>
      <c r="G50" s="329"/>
      <c r="H50" s="519">
        <f t="shared" si="10"/>
        <v>2018</v>
      </c>
      <c r="I50" s="492">
        <v>27000</v>
      </c>
      <c r="J50" s="492">
        <v>19707</v>
      </c>
      <c r="K50" s="492"/>
      <c r="L50" s="500">
        <f t="shared" si="12"/>
        <v>46707</v>
      </c>
      <c r="M50" s="457">
        <f t="shared" si="1"/>
        <v>37</v>
      </c>
      <c r="N50" s="370"/>
      <c r="O50" s="370">
        <v>41988</v>
      </c>
      <c r="P50" s="471"/>
      <c r="Q50" s="471">
        <v>23000</v>
      </c>
      <c r="R50" s="329"/>
      <c r="S50" s="329">
        <v>3.74</v>
      </c>
      <c r="T50" s="329"/>
      <c r="U50" s="329">
        <v>23764.799999999999</v>
      </c>
      <c r="V50" s="329"/>
      <c r="W50" s="329">
        <v>46764.800000000003</v>
      </c>
      <c r="X50" s="329"/>
      <c r="Y50" s="329">
        <v>104100</v>
      </c>
      <c r="Z50" s="329"/>
      <c r="AA50" s="329">
        <v>5.4</v>
      </c>
      <c r="AB50" s="329"/>
      <c r="AC50" s="329">
        <v>98279</v>
      </c>
      <c r="AD50" s="329"/>
      <c r="AE50" s="329">
        <v>202379</v>
      </c>
      <c r="AF50" s="329"/>
      <c r="AG50" s="329"/>
      <c r="AH50" s="329"/>
      <c r="AI50" s="329"/>
      <c r="AJ50" s="329"/>
      <c r="AK50" s="329"/>
      <c r="AL50" s="329"/>
      <c r="AM50" s="329"/>
      <c r="AN50" s="329"/>
      <c r="AO50" s="329"/>
      <c r="AP50" s="329"/>
      <c r="AQ50" s="329"/>
      <c r="AR50" s="329"/>
    </row>
    <row r="51" spans="1:44" x14ac:dyDescent="0.25">
      <c r="A51" s="456">
        <f t="shared" si="9"/>
        <v>38</v>
      </c>
      <c r="B51" s="519">
        <f t="shared" si="9"/>
        <v>2019</v>
      </c>
      <c r="C51" s="464">
        <v>200000</v>
      </c>
      <c r="D51" s="464">
        <v>346531</v>
      </c>
      <c r="E51" s="492"/>
      <c r="F51" s="465">
        <f t="shared" si="11"/>
        <v>546531</v>
      </c>
      <c r="G51" s="329"/>
      <c r="H51" s="519">
        <f t="shared" si="10"/>
        <v>2019</v>
      </c>
      <c r="I51" s="492">
        <v>28000</v>
      </c>
      <c r="J51" s="492">
        <v>18321.900000000001</v>
      </c>
      <c r="K51" s="492"/>
      <c r="L51" s="500">
        <f t="shared" si="12"/>
        <v>46321.9</v>
      </c>
      <c r="M51" s="457">
        <f t="shared" si="1"/>
        <v>38</v>
      </c>
      <c r="N51" s="370"/>
      <c r="O51" s="370">
        <v>42353</v>
      </c>
      <c r="P51" s="370"/>
      <c r="Q51" s="370">
        <v>23000</v>
      </c>
      <c r="R51" s="329"/>
      <c r="S51" s="329">
        <v>4.03</v>
      </c>
      <c r="T51" s="329"/>
      <c r="U51" s="329">
        <v>22904.6</v>
      </c>
      <c r="V51" s="329"/>
      <c r="W51" s="329">
        <v>45904.600000000013</v>
      </c>
      <c r="X51" s="329"/>
      <c r="Y51" s="329">
        <v>109700</v>
      </c>
      <c r="Z51" s="329"/>
      <c r="AA51" s="329">
        <v>5.4</v>
      </c>
      <c r="AB51" s="329"/>
      <c r="AC51" s="329">
        <v>92657.600000000006</v>
      </c>
      <c r="AD51" s="329"/>
      <c r="AE51" s="329">
        <v>202357.6</v>
      </c>
      <c r="AF51" s="329"/>
      <c r="AG51" s="329"/>
      <c r="AH51" s="329"/>
      <c r="AI51" s="329"/>
      <c r="AJ51" s="329"/>
      <c r="AK51" s="329"/>
      <c r="AL51" s="329"/>
      <c r="AM51" s="329"/>
      <c r="AN51" s="329"/>
      <c r="AO51" s="329"/>
      <c r="AP51" s="329"/>
      <c r="AQ51" s="329"/>
      <c r="AR51" s="329"/>
    </row>
    <row r="52" spans="1:44" x14ac:dyDescent="0.25">
      <c r="A52" s="456">
        <f t="shared" si="9"/>
        <v>39</v>
      </c>
      <c r="B52" s="519">
        <f t="shared" si="9"/>
        <v>2020</v>
      </c>
      <c r="C52" s="464">
        <v>220000</v>
      </c>
      <c r="D52" s="464">
        <v>329469</v>
      </c>
      <c r="E52" s="492"/>
      <c r="F52" s="465">
        <f t="shared" si="11"/>
        <v>549469</v>
      </c>
      <c r="G52" s="329"/>
      <c r="H52" s="519">
        <f t="shared" si="10"/>
        <v>2020</v>
      </c>
      <c r="I52" s="492">
        <v>30000</v>
      </c>
      <c r="J52" s="492">
        <v>16801.5</v>
      </c>
      <c r="K52" s="492"/>
      <c r="L52" s="500">
        <f t="shared" si="12"/>
        <v>46801.5</v>
      </c>
      <c r="M52" s="457">
        <f t="shared" si="1"/>
        <v>39</v>
      </c>
      <c r="N52" s="370"/>
      <c r="O52" s="525">
        <v>42719</v>
      </c>
      <c r="P52" s="525"/>
      <c r="Q52" s="525">
        <v>24000</v>
      </c>
      <c r="R52" s="329"/>
      <c r="S52" s="329">
        <v>4.43</v>
      </c>
      <c r="T52" s="329"/>
      <c r="U52" s="329">
        <v>21977.7</v>
      </c>
      <c r="V52" s="329"/>
      <c r="W52" s="329">
        <v>45977.7</v>
      </c>
      <c r="X52" s="329"/>
      <c r="Y52" s="329">
        <v>115600</v>
      </c>
      <c r="Z52" s="329"/>
      <c r="AA52" s="329">
        <v>5.45</v>
      </c>
      <c r="AB52" s="329"/>
      <c r="AC52" s="329">
        <v>86733.8</v>
      </c>
      <c r="AD52" s="329"/>
      <c r="AE52" s="329">
        <v>202333.8</v>
      </c>
      <c r="AF52" s="329"/>
      <c r="AG52" s="329"/>
      <c r="AH52" s="329"/>
      <c r="AI52" s="329"/>
      <c r="AJ52" s="329"/>
      <c r="AK52" s="329"/>
      <c r="AL52" s="329"/>
      <c r="AM52" s="329"/>
      <c r="AN52" s="329"/>
      <c r="AO52" s="329"/>
      <c r="AP52" s="329"/>
      <c r="AQ52" s="329"/>
      <c r="AR52" s="329"/>
    </row>
    <row r="53" spans="1:44" x14ac:dyDescent="0.25">
      <c r="A53" s="456">
        <f t="shared" si="9"/>
        <v>40</v>
      </c>
      <c r="B53" s="519">
        <f t="shared" si="9"/>
        <v>2021</v>
      </c>
      <c r="C53" s="464">
        <v>235000</v>
      </c>
      <c r="D53" s="464">
        <v>310984</v>
      </c>
      <c r="E53" s="492"/>
      <c r="F53" s="465">
        <f t="shared" si="11"/>
        <v>545984</v>
      </c>
      <c r="G53" s="329"/>
      <c r="H53" s="519">
        <f t="shared" si="10"/>
        <v>2021</v>
      </c>
      <c r="I53" s="492">
        <v>31000</v>
      </c>
      <c r="J53" s="492">
        <v>15112.5</v>
      </c>
      <c r="K53" s="492"/>
      <c r="L53" s="500">
        <f t="shared" si="12"/>
        <v>46112.5</v>
      </c>
      <c r="M53" s="457">
        <f t="shared" si="1"/>
        <v>40</v>
      </c>
      <c r="N53" s="370"/>
      <c r="O53" s="525">
        <v>43084</v>
      </c>
      <c r="P53" s="525"/>
      <c r="Q53" s="525">
        <v>25000</v>
      </c>
      <c r="R53" s="329"/>
      <c r="S53" s="329">
        <v>4.83</v>
      </c>
      <c r="T53" s="329"/>
      <c r="U53" s="329">
        <v>20914.5</v>
      </c>
      <c r="V53" s="329"/>
      <c r="W53" s="329">
        <v>45914.5</v>
      </c>
      <c r="X53" s="329"/>
      <c r="Y53" s="329">
        <v>121900</v>
      </c>
      <c r="Z53" s="329"/>
      <c r="AA53" s="329">
        <v>5.2</v>
      </c>
      <c r="AB53" s="329"/>
      <c r="AC53" s="329">
        <v>80433.600000000006</v>
      </c>
      <c r="AD53" s="329"/>
      <c r="AE53" s="329">
        <v>202333.6</v>
      </c>
      <c r="AF53" s="329"/>
      <c r="AG53" s="329"/>
      <c r="AH53" s="329"/>
      <c r="AI53" s="329"/>
      <c r="AJ53" s="329"/>
      <c r="AK53" s="329"/>
      <c r="AL53" s="329"/>
      <c r="AM53" s="329"/>
      <c r="AN53" s="329"/>
      <c r="AO53" s="329"/>
      <c r="AP53" s="329"/>
      <c r="AQ53" s="329"/>
      <c r="AR53" s="329"/>
    </row>
    <row r="54" spans="1:44" x14ac:dyDescent="0.25">
      <c r="A54" s="456">
        <f t="shared" si="9"/>
        <v>41</v>
      </c>
      <c r="B54" s="519">
        <f t="shared" si="9"/>
        <v>2022</v>
      </c>
      <c r="C54" s="464">
        <v>255000</v>
      </c>
      <c r="D54" s="464">
        <v>291078</v>
      </c>
      <c r="E54" s="492"/>
      <c r="F54" s="465">
        <f t="shared" si="11"/>
        <v>546078</v>
      </c>
      <c r="G54" s="329"/>
      <c r="H54" s="519">
        <f t="shared" si="10"/>
        <v>2022</v>
      </c>
      <c r="I54" s="492">
        <v>32000</v>
      </c>
      <c r="J54" s="492">
        <v>13863.2</v>
      </c>
      <c r="K54" s="492"/>
      <c r="L54" s="500">
        <f t="shared" si="12"/>
        <v>45863.199999999997</v>
      </c>
      <c r="M54" s="457">
        <f t="shared" si="1"/>
        <v>41</v>
      </c>
      <c r="N54" s="370"/>
      <c r="O54" s="370">
        <v>43449</v>
      </c>
      <c r="P54" s="370"/>
      <c r="Q54" s="370">
        <v>27000</v>
      </c>
      <c r="R54" s="329"/>
      <c r="S54" s="329">
        <v>5.13</v>
      </c>
      <c r="T54" s="329"/>
      <c r="U54" s="329">
        <v>19707</v>
      </c>
      <c r="V54" s="329"/>
      <c r="W54" s="329">
        <v>46707</v>
      </c>
      <c r="X54" s="329"/>
      <c r="Y54" s="329">
        <v>112200</v>
      </c>
      <c r="Z54" s="329"/>
      <c r="AA54" s="329">
        <v>5.2</v>
      </c>
      <c r="AB54" s="329"/>
      <c r="AC54" s="329">
        <v>74094.8</v>
      </c>
      <c r="AD54" s="329"/>
      <c r="AE54" s="329">
        <v>186294.8</v>
      </c>
      <c r="AF54" s="329"/>
      <c r="AG54" s="329"/>
      <c r="AH54" s="329"/>
      <c r="AI54" s="329"/>
      <c r="AJ54" s="329"/>
      <c r="AK54" s="329"/>
      <c r="AL54" s="329"/>
      <c r="AM54" s="329"/>
      <c r="AN54" s="329"/>
      <c r="AO54" s="329"/>
      <c r="AP54" s="329"/>
      <c r="AQ54" s="329"/>
      <c r="AR54" s="329"/>
    </row>
    <row r="55" spans="1:44" x14ac:dyDescent="0.25">
      <c r="A55" s="456">
        <f t="shared" ref="A55:B65" si="13">A54+1</f>
        <v>42</v>
      </c>
      <c r="B55" s="519">
        <f t="shared" si="13"/>
        <v>2023</v>
      </c>
      <c r="C55" s="464">
        <v>275000</v>
      </c>
      <c r="D55" s="464">
        <v>269547</v>
      </c>
      <c r="E55" s="492"/>
      <c r="F55" s="465">
        <f t="shared" si="11"/>
        <v>544547</v>
      </c>
      <c r="G55" s="329"/>
      <c r="H55" s="519">
        <f t="shared" si="10"/>
        <v>2023</v>
      </c>
      <c r="I55" s="492">
        <v>34000</v>
      </c>
      <c r="J55" s="492">
        <v>12573.6</v>
      </c>
      <c r="K55" s="492"/>
      <c r="L55" s="500">
        <f t="shared" si="12"/>
        <v>46573.599999999999</v>
      </c>
      <c r="M55" s="457">
        <f t="shared" si="1"/>
        <v>42</v>
      </c>
      <c r="N55" s="370"/>
      <c r="O55" s="370">
        <v>43814</v>
      </c>
      <c r="P55" s="370"/>
      <c r="Q55" s="370">
        <v>28000</v>
      </c>
      <c r="R55" s="329"/>
      <c r="S55" s="329">
        <v>5.43</v>
      </c>
      <c r="T55" s="329"/>
      <c r="U55" s="329">
        <v>18321.900000000001</v>
      </c>
      <c r="V55" s="329"/>
      <c r="W55" s="329">
        <v>46321.899999999987</v>
      </c>
      <c r="X55" s="329"/>
      <c r="Y55" s="329">
        <v>118100</v>
      </c>
      <c r="Z55" s="329"/>
      <c r="AA55" s="329">
        <v>5.2</v>
      </c>
      <c r="AB55" s="329"/>
      <c r="AC55" s="329">
        <v>68260.399999999994</v>
      </c>
      <c r="AD55" s="329"/>
      <c r="AE55" s="329">
        <v>186360.4</v>
      </c>
      <c r="AF55" s="329"/>
      <c r="AG55" s="329"/>
      <c r="AH55" s="329"/>
      <c r="AI55" s="329"/>
      <c r="AJ55" s="329"/>
      <c r="AK55" s="329"/>
      <c r="AL55" s="329"/>
      <c r="AM55" s="329"/>
      <c r="AN55" s="329"/>
      <c r="AO55" s="329"/>
      <c r="AP55" s="329"/>
      <c r="AQ55" s="329"/>
      <c r="AR55" s="329"/>
    </row>
    <row r="56" spans="1:44" x14ac:dyDescent="0.25">
      <c r="A56" s="456">
        <f t="shared" si="13"/>
        <v>43</v>
      </c>
      <c r="B56" s="519">
        <f t="shared" si="13"/>
        <v>2024</v>
      </c>
      <c r="C56" s="464">
        <v>300000</v>
      </c>
      <c r="D56" s="464">
        <v>246188</v>
      </c>
      <c r="E56" s="492"/>
      <c r="F56" s="465">
        <f t="shared" si="11"/>
        <v>546188</v>
      </c>
      <c r="G56" s="329"/>
      <c r="H56" s="519">
        <f t="shared" si="10"/>
        <v>2024</v>
      </c>
      <c r="I56" s="492">
        <v>35000</v>
      </c>
      <c r="J56" s="492">
        <v>11203.4</v>
      </c>
      <c r="K56" s="492"/>
      <c r="L56" s="500">
        <f t="shared" si="12"/>
        <v>46203.4</v>
      </c>
      <c r="M56" s="457">
        <f t="shared" si="1"/>
        <v>43</v>
      </c>
      <c r="N56" s="370"/>
      <c r="O56" s="370">
        <v>44180</v>
      </c>
      <c r="P56" s="370"/>
      <c r="Q56" s="370">
        <v>30000</v>
      </c>
      <c r="R56" s="329"/>
      <c r="S56" s="329">
        <v>5.63</v>
      </c>
      <c r="T56" s="329"/>
      <c r="U56" s="329">
        <v>16801.5</v>
      </c>
      <c r="V56" s="329"/>
      <c r="W56" s="329">
        <v>46801.5</v>
      </c>
      <c r="X56" s="329"/>
      <c r="Y56" s="329">
        <v>124200</v>
      </c>
      <c r="Z56" s="329"/>
      <c r="AA56" s="329">
        <v>5.2</v>
      </c>
      <c r="AB56" s="329"/>
      <c r="AC56" s="329">
        <v>62119.200000000012</v>
      </c>
      <c r="AD56" s="329"/>
      <c r="AE56" s="329">
        <v>186319.2</v>
      </c>
      <c r="AF56" s="329"/>
      <c r="AG56" s="329"/>
      <c r="AH56" s="329"/>
      <c r="AI56" s="329"/>
      <c r="AJ56" s="329"/>
      <c r="AK56" s="329"/>
      <c r="AL56" s="329"/>
      <c r="AM56" s="329"/>
      <c r="AN56" s="329"/>
      <c r="AO56" s="329"/>
      <c r="AP56" s="329"/>
      <c r="AQ56" s="329"/>
      <c r="AR56" s="329"/>
    </row>
    <row r="57" spans="1:44" x14ac:dyDescent="0.25">
      <c r="A57" s="456">
        <f t="shared" si="13"/>
        <v>44</v>
      </c>
      <c r="B57" s="519">
        <f t="shared" si="13"/>
        <v>2025</v>
      </c>
      <c r="C57" s="464">
        <v>320000</v>
      </c>
      <c r="D57" s="464">
        <v>221000</v>
      </c>
      <c r="E57" s="492"/>
      <c r="F57" s="465">
        <f t="shared" si="11"/>
        <v>541000</v>
      </c>
      <c r="G57" s="329"/>
      <c r="H57" s="519">
        <f t="shared" si="10"/>
        <v>2025</v>
      </c>
      <c r="I57" s="492">
        <v>37000</v>
      </c>
      <c r="J57" s="492">
        <v>9792.9</v>
      </c>
      <c r="K57" s="492"/>
      <c r="L57" s="500">
        <f t="shared" si="12"/>
        <v>46792.9</v>
      </c>
      <c r="M57" s="457">
        <f t="shared" si="1"/>
        <v>44</v>
      </c>
      <c r="N57" s="370"/>
      <c r="O57" s="370">
        <v>44545</v>
      </c>
      <c r="P57" s="370"/>
      <c r="Q57" s="370">
        <v>31000</v>
      </c>
      <c r="R57" s="329"/>
      <c r="S57" s="329">
        <v>4.03</v>
      </c>
      <c r="T57" s="329"/>
      <c r="U57" s="329">
        <v>15112.5</v>
      </c>
      <c r="V57" s="329"/>
      <c r="W57" s="329">
        <v>46112.5</v>
      </c>
      <c r="X57" s="329"/>
      <c r="Y57" s="329">
        <v>130700</v>
      </c>
      <c r="Z57" s="329"/>
      <c r="AA57" s="329">
        <v>5.2</v>
      </c>
      <c r="AB57" s="329"/>
      <c r="AC57" s="329">
        <v>55660.800000000003</v>
      </c>
      <c r="AD57" s="329"/>
      <c r="AE57" s="329">
        <v>186360.8</v>
      </c>
      <c r="AF57" s="329"/>
      <c r="AG57" s="329"/>
      <c r="AH57" s="329"/>
      <c r="AI57" s="329"/>
      <c r="AJ57" s="329"/>
      <c r="AK57" s="329"/>
      <c r="AL57" s="329"/>
      <c r="AM57" s="329"/>
      <c r="AN57" s="329"/>
      <c r="AO57" s="329"/>
      <c r="AP57" s="329"/>
      <c r="AQ57" s="329"/>
      <c r="AR57" s="329"/>
    </row>
    <row r="58" spans="1:44" x14ac:dyDescent="0.25">
      <c r="A58" s="456">
        <f t="shared" si="13"/>
        <v>45</v>
      </c>
      <c r="B58" s="519">
        <f t="shared" si="13"/>
        <v>2026</v>
      </c>
      <c r="C58" s="464">
        <v>350000</v>
      </c>
      <c r="D58" s="464">
        <v>193781</v>
      </c>
      <c r="E58" s="492"/>
      <c r="F58" s="465">
        <f t="shared" si="11"/>
        <v>543781</v>
      </c>
      <c r="G58" s="329"/>
      <c r="H58" s="519">
        <f t="shared" si="10"/>
        <v>2026</v>
      </c>
      <c r="I58" s="492">
        <v>38000</v>
      </c>
      <c r="J58" s="492">
        <v>8301.7999999999993</v>
      </c>
      <c r="K58" s="492"/>
      <c r="L58" s="500">
        <f t="shared" si="12"/>
        <v>46301.8</v>
      </c>
      <c r="M58" s="457">
        <f t="shared" si="1"/>
        <v>45</v>
      </c>
      <c r="N58" s="370"/>
      <c r="O58" s="370">
        <v>44910</v>
      </c>
      <c r="P58" s="370"/>
      <c r="Q58" s="370">
        <v>32000</v>
      </c>
      <c r="R58" s="329"/>
      <c r="S58" s="329">
        <v>4.03</v>
      </c>
      <c r="T58" s="329"/>
      <c r="U58" s="329">
        <v>13863.2</v>
      </c>
      <c r="V58" s="329"/>
      <c r="W58" s="329">
        <v>45863.199999999997</v>
      </c>
      <c r="X58" s="329"/>
      <c r="Y58" s="329">
        <v>137500</v>
      </c>
      <c r="Z58" s="329"/>
      <c r="AA58" s="329">
        <v>5.2</v>
      </c>
      <c r="AB58" s="329"/>
      <c r="AC58" s="329">
        <v>48864.4</v>
      </c>
      <c r="AD58" s="329"/>
      <c r="AE58" s="329">
        <v>186364.4</v>
      </c>
      <c r="AF58" s="329"/>
      <c r="AG58" s="329"/>
      <c r="AH58" s="329"/>
      <c r="AI58" s="329"/>
      <c r="AJ58" s="329"/>
      <c r="AK58" s="329"/>
      <c r="AL58" s="329"/>
      <c r="AM58" s="329"/>
      <c r="AN58" s="329"/>
      <c r="AO58" s="329"/>
      <c r="AP58" s="329"/>
      <c r="AQ58" s="329"/>
      <c r="AR58" s="329"/>
    </row>
    <row r="59" spans="1:44" x14ac:dyDescent="0.25">
      <c r="A59" s="456">
        <f t="shared" si="13"/>
        <v>46</v>
      </c>
      <c r="B59" s="519">
        <f t="shared" si="13"/>
        <v>2027</v>
      </c>
      <c r="C59" s="464">
        <v>375000</v>
      </c>
      <c r="D59" s="464">
        <v>164328</v>
      </c>
      <c r="E59" s="492"/>
      <c r="F59" s="465">
        <f>SUM(C59:E59)</f>
        <v>539328</v>
      </c>
      <c r="G59" s="329"/>
      <c r="H59" s="519">
        <f t="shared" si="10"/>
        <v>2027</v>
      </c>
      <c r="I59" s="492">
        <v>40000</v>
      </c>
      <c r="J59" s="492">
        <v>6770.4000000000005</v>
      </c>
      <c r="K59" s="492"/>
      <c r="L59" s="500">
        <f t="shared" si="12"/>
        <v>46770.400000000001</v>
      </c>
      <c r="M59" s="457">
        <f t="shared" si="1"/>
        <v>46</v>
      </c>
      <c r="N59" s="370"/>
      <c r="O59" s="370">
        <v>45275</v>
      </c>
      <c r="P59" s="370"/>
      <c r="Q59" s="370">
        <v>34000</v>
      </c>
      <c r="R59" s="508"/>
      <c r="S59" s="329">
        <v>4.03</v>
      </c>
      <c r="T59" s="329"/>
      <c r="U59" s="329">
        <v>12573.6</v>
      </c>
      <c r="V59" s="329"/>
      <c r="W59" s="329">
        <v>46573.600000000013</v>
      </c>
      <c r="X59" s="329"/>
      <c r="Y59" s="329">
        <v>144600</v>
      </c>
      <c r="Z59" s="329"/>
      <c r="AA59" s="329">
        <v>5.2</v>
      </c>
      <c r="AB59" s="329"/>
      <c r="AC59" s="329">
        <v>41714.400000000001</v>
      </c>
      <c r="AD59" s="329"/>
      <c r="AE59" s="329">
        <v>186314.4</v>
      </c>
      <c r="AF59" s="329"/>
      <c r="AG59" s="329"/>
      <c r="AH59" s="329"/>
      <c r="AI59" s="329"/>
      <c r="AJ59" s="329"/>
      <c r="AK59" s="329"/>
      <c r="AL59" s="329"/>
      <c r="AM59" s="329"/>
      <c r="AN59" s="329"/>
      <c r="AO59" s="329"/>
      <c r="AP59" s="329"/>
      <c r="AQ59" s="329"/>
      <c r="AR59" s="329"/>
    </row>
    <row r="60" spans="1:44" x14ac:dyDescent="0.25">
      <c r="A60" s="456">
        <f t="shared" si="13"/>
        <v>47</v>
      </c>
      <c r="B60" s="519">
        <f t="shared" si="13"/>
        <v>2028</v>
      </c>
      <c r="C60" s="464">
        <v>405000</v>
      </c>
      <c r="D60" s="464">
        <v>132641</v>
      </c>
      <c r="E60" s="492"/>
      <c r="F60" s="465">
        <f t="shared" si="11"/>
        <v>537641</v>
      </c>
      <c r="G60" s="329"/>
      <c r="H60" s="519">
        <f t="shared" si="10"/>
        <v>2028</v>
      </c>
      <c r="I60" s="492">
        <v>41000</v>
      </c>
      <c r="J60" s="492">
        <v>5158.4000000000005</v>
      </c>
      <c r="K60" s="492"/>
      <c r="L60" s="500">
        <f t="shared" si="12"/>
        <v>46158.400000000001</v>
      </c>
      <c r="M60" s="457">
        <f t="shared" si="1"/>
        <v>47</v>
      </c>
      <c r="N60" s="370"/>
      <c r="O60" s="370">
        <v>45641</v>
      </c>
      <c r="P60" s="370"/>
      <c r="Q60" s="370">
        <v>35000</v>
      </c>
      <c r="R60" s="508"/>
      <c r="S60" s="329">
        <v>4.03</v>
      </c>
      <c r="T60" s="329"/>
      <c r="U60" s="329">
        <v>11203.4</v>
      </c>
      <c r="V60" s="329"/>
      <c r="W60" s="329">
        <v>46203.399999999987</v>
      </c>
      <c r="X60" s="329"/>
      <c r="Y60" s="329">
        <v>152100</v>
      </c>
      <c r="Z60" s="329"/>
      <c r="AA60" s="329">
        <v>5.2</v>
      </c>
      <c r="AB60" s="329"/>
      <c r="AC60" s="329">
        <v>34195.199999999997</v>
      </c>
      <c r="AD60" s="329"/>
      <c r="AE60" s="329">
        <v>186295.2</v>
      </c>
      <c r="AF60" s="329"/>
      <c r="AG60" s="329"/>
      <c r="AH60" s="329"/>
      <c r="AI60" s="329"/>
      <c r="AJ60" s="329"/>
      <c r="AK60" s="329"/>
      <c r="AL60" s="329"/>
      <c r="AM60" s="329"/>
      <c r="AN60" s="329"/>
      <c r="AO60" s="329"/>
      <c r="AP60" s="329"/>
      <c r="AQ60" s="329"/>
      <c r="AR60" s="329"/>
    </row>
    <row r="61" spans="1:44" x14ac:dyDescent="0.25">
      <c r="A61" s="456">
        <f t="shared" si="13"/>
        <v>48</v>
      </c>
      <c r="B61" s="519">
        <f t="shared" si="13"/>
        <v>2029</v>
      </c>
      <c r="C61" s="464">
        <v>440000</v>
      </c>
      <c r="D61" s="464">
        <v>98313</v>
      </c>
      <c r="E61" s="492"/>
      <c r="F61" s="465">
        <f t="shared" si="11"/>
        <v>538313</v>
      </c>
      <c r="G61" s="329"/>
      <c r="H61" s="519">
        <f t="shared" si="10"/>
        <v>2029</v>
      </c>
      <c r="I61" s="492">
        <v>43000</v>
      </c>
      <c r="J61" s="492">
        <v>3506.1</v>
      </c>
      <c r="K61" s="492"/>
      <c r="L61" s="500">
        <f t="shared" si="12"/>
        <v>46506.1</v>
      </c>
      <c r="M61" s="457">
        <f t="shared" si="1"/>
        <v>48</v>
      </c>
      <c r="N61" s="370"/>
      <c r="O61" s="370">
        <v>46006</v>
      </c>
      <c r="P61" s="370"/>
      <c r="Q61" s="370">
        <v>37000</v>
      </c>
      <c r="R61" s="508"/>
      <c r="S61" s="329">
        <v>4.03</v>
      </c>
      <c r="T61" s="329"/>
      <c r="U61" s="329">
        <v>9792.9</v>
      </c>
      <c r="V61" s="329"/>
      <c r="W61" s="329">
        <v>46792.899999999987</v>
      </c>
      <c r="X61" s="329"/>
      <c r="Y61" s="329">
        <v>160000</v>
      </c>
      <c r="Z61" s="329"/>
      <c r="AA61" s="329">
        <v>5.2</v>
      </c>
      <c r="AB61" s="329"/>
      <c r="AC61" s="329">
        <v>26286</v>
      </c>
      <c r="AD61" s="329"/>
      <c r="AE61" s="329">
        <v>186286</v>
      </c>
      <c r="AF61" s="329"/>
      <c r="AG61" s="329"/>
      <c r="AH61" s="329"/>
      <c r="AI61" s="329"/>
      <c r="AJ61" s="329"/>
      <c r="AK61" s="329"/>
      <c r="AL61" s="329"/>
      <c r="AM61" s="329"/>
      <c r="AN61" s="329"/>
      <c r="AO61" s="329"/>
      <c r="AP61" s="329"/>
      <c r="AQ61" s="329"/>
      <c r="AR61" s="329"/>
    </row>
    <row r="62" spans="1:44" x14ac:dyDescent="0.25">
      <c r="A62" s="456">
        <f t="shared" si="13"/>
        <v>49</v>
      </c>
      <c r="B62" s="519">
        <f t="shared" si="13"/>
        <v>2030</v>
      </c>
      <c r="C62" s="464">
        <v>475000</v>
      </c>
      <c r="D62" s="464">
        <v>61141</v>
      </c>
      <c r="E62" s="492"/>
      <c r="F62" s="465">
        <f t="shared" si="11"/>
        <v>536141</v>
      </c>
      <c r="G62" s="329"/>
      <c r="H62" s="519">
        <f t="shared" si="10"/>
        <v>2030</v>
      </c>
      <c r="I62" s="492">
        <v>44000</v>
      </c>
      <c r="J62" s="492">
        <v>1773.2</v>
      </c>
      <c r="K62" s="492"/>
      <c r="L62" s="500">
        <f t="shared" si="12"/>
        <v>45773.2</v>
      </c>
      <c r="M62" s="457">
        <f t="shared" si="1"/>
        <v>49</v>
      </c>
      <c r="N62" s="370"/>
      <c r="O62" s="370">
        <v>46371</v>
      </c>
      <c r="P62" s="370"/>
      <c r="Q62" s="370">
        <v>38000</v>
      </c>
      <c r="R62" s="508"/>
      <c r="S62" s="329">
        <v>4.03</v>
      </c>
      <c r="T62" s="329"/>
      <c r="U62" s="329">
        <v>8301.7999999999993</v>
      </c>
      <c r="V62" s="329"/>
      <c r="W62" s="329">
        <v>46301.8</v>
      </c>
      <c r="X62" s="329"/>
      <c r="Y62" s="329">
        <v>168400</v>
      </c>
      <c r="Z62" s="329"/>
      <c r="AA62" s="329">
        <v>5.2</v>
      </c>
      <c r="AB62" s="329"/>
      <c r="AC62" s="329">
        <v>17966</v>
      </c>
      <c r="AD62" s="329"/>
      <c r="AE62" s="329">
        <v>186366</v>
      </c>
      <c r="AF62" s="329"/>
      <c r="AG62" s="329"/>
      <c r="AH62" s="329"/>
      <c r="AI62" s="329"/>
      <c r="AJ62" s="329"/>
      <c r="AK62" s="329"/>
      <c r="AL62" s="329"/>
      <c r="AM62" s="329"/>
      <c r="AN62" s="329"/>
      <c r="AO62" s="329"/>
      <c r="AP62" s="329"/>
      <c r="AQ62" s="329"/>
      <c r="AR62" s="329"/>
    </row>
    <row r="63" spans="1:44" x14ac:dyDescent="0.25">
      <c r="A63" s="456">
        <f t="shared" si="13"/>
        <v>50</v>
      </c>
      <c r="B63" s="519">
        <f t="shared" si="13"/>
        <v>2031</v>
      </c>
      <c r="C63" s="464">
        <v>515000</v>
      </c>
      <c r="D63" s="464">
        <v>20922</v>
      </c>
      <c r="E63" s="464"/>
      <c r="F63" s="465">
        <f t="shared" si="11"/>
        <v>535922</v>
      </c>
      <c r="G63" s="329"/>
      <c r="H63" s="519">
        <f t="shared" si="10"/>
        <v>2031</v>
      </c>
      <c r="I63" s="492"/>
      <c r="J63" s="492"/>
      <c r="K63" s="492"/>
      <c r="L63" s="500">
        <f t="shared" si="12"/>
        <v>0</v>
      </c>
      <c r="M63" s="457">
        <f t="shared" si="1"/>
        <v>50</v>
      </c>
      <c r="N63" s="370"/>
      <c r="O63" s="370">
        <v>46736</v>
      </c>
      <c r="P63" s="370"/>
      <c r="Q63" s="370">
        <v>40000</v>
      </c>
      <c r="R63" s="508"/>
      <c r="S63" s="329">
        <v>4.03</v>
      </c>
      <c r="T63" s="329"/>
      <c r="U63" s="329">
        <v>6770.4000000000005</v>
      </c>
      <c r="V63" s="329"/>
      <c r="W63" s="329">
        <v>46770.399999999987</v>
      </c>
      <c r="X63" s="329"/>
      <c r="Y63" s="329">
        <v>177100</v>
      </c>
      <c r="Z63" s="329"/>
      <c r="AA63" s="329">
        <v>5.2</v>
      </c>
      <c r="AB63" s="329"/>
      <c r="AC63" s="329">
        <v>9209.2000000000007</v>
      </c>
      <c r="AD63" s="329"/>
      <c r="AE63" s="329">
        <v>186309.2</v>
      </c>
      <c r="AF63" s="329"/>
      <c r="AG63" s="329"/>
      <c r="AH63" s="329"/>
      <c r="AI63" s="329"/>
      <c r="AJ63" s="329"/>
      <c r="AK63" s="329"/>
      <c r="AL63" s="329"/>
      <c r="AM63" s="329"/>
      <c r="AN63" s="329"/>
      <c r="AO63" s="329"/>
      <c r="AP63" s="329"/>
      <c r="AQ63" s="329"/>
      <c r="AR63" s="329"/>
    </row>
    <row r="64" spans="1:44" ht="15.75" thickBot="1" x14ac:dyDescent="0.3">
      <c r="A64" s="456">
        <f t="shared" si="13"/>
        <v>51</v>
      </c>
      <c r="B64" s="526"/>
      <c r="C64" s="527">
        <f>SUM(C43:C63)</f>
        <v>5290000</v>
      </c>
      <c r="D64" s="527">
        <f>SUM(D43:D63)</f>
        <v>5862088</v>
      </c>
      <c r="E64" s="510">
        <f>SUM(E43:E63)</f>
        <v>0</v>
      </c>
      <c r="F64" s="528">
        <f>SUM(F43:F63)</f>
        <v>11152088</v>
      </c>
      <c r="G64" s="329"/>
      <c r="H64" s="526"/>
      <c r="I64" s="527">
        <f>SUM(I43:I63)</f>
        <v>624000</v>
      </c>
      <c r="J64" s="527">
        <f>SUM(J43:J63)</f>
        <v>302141.85000000009</v>
      </c>
      <c r="K64" s="527">
        <f>SUM(K43:K63)</f>
        <v>0</v>
      </c>
      <c r="L64" s="528">
        <f>SUM(L43:L63)</f>
        <v>926141.85000000009</v>
      </c>
      <c r="M64" s="457">
        <f t="shared" si="1"/>
        <v>51</v>
      </c>
      <c r="N64" s="370"/>
      <c r="O64" s="370">
        <v>47102</v>
      </c>
      <c r="P64" s="370"/>
      <c r="Q64" s="370">
        <v>41000</v>
      </c>
      <c r="R64" s="508"/>
      <c r="S64" s="329">
        <v>4.03</v>
      </c>
      <c r="T64" s="329"/>
      <c r="U64" s="329">
        <v>5158.4000000000005</v>
      </c>
      <c r="V64" s="329"/>
      <c r="W64" s="329">
        <v>46158.399999999987</v>
      </c>
      <c r="X64" s="329"/>
      <c r="Y64" s="329"/>
      <c r="Z64" s="329"/>
      <c r="AA64" s="329"/>
      <c r="AB64" s="329"/>
      <c r="AC64" s="329"/>
      <c r="AD64" s="329"/>
      <c r="AE64" s="329"/>
      <c r="AF64" s="329"/>
      <c r="AG64" s="329"/>
      <c r="AH64" s="329"/>
      <c r="AI64" s="329"/>
      <c r="AJ64" s="329"/>
      <c r="AK64" s="329"/>
      <c r="AL64" s="329"/>
      <c r="AM64" s="329"/>
      <c r="AN64" s="329"/>
      <c r="AO64" s="329"/>
      <c r="AP64" s="329"/>
      <c r="AQ64" s="329"/>
      <c r="AR64" s="329"/>
    </row>
    <row r="65" spans="1:44" x14ac:dyDescent="0.25">
      <c r="A65" s="456">
        <f t="shared" si="13"/>
        <v>52</v>
      </c>
      <c r="B65" s="329"/>
      <c r="C65" s="329"/>
      <c r="D65" s="329"/>
      <c r="E65" s="329"/>
      <c r="F65" s="329"/>
      <c r="G65" s="329"/>
      <c r="H65" s="297"/>
      <c r="I65" s="297"/>
      <c r="J65" s="297"/>
      <c r="K65" s="297"/>
      <c r="L65" s="297"/>
      <c r="M65" s="457">
        <f t="shared" si="1"/>
        <v>52</v>
      </c>
      <c r="N65" s="370"/>
      <c r="O65" s="370">
        <v>47467</v>
      </c>
      <c r="P65" s="370"/>
      <c r="Q65" s="370">
        <v>43000</v>
      </c>
      <c r="R65" s="508"/>
      <c r="S65" s="329">
        <v>4.03</v>
      </c>
      <c r="T65" s="329"/>
      <c r="U65" s="329">
        <v>3506.1</v>
      </c>
      <c r="V65" s="329"/>
      <c r="W65" s="329">
        <v>46506.100000000013</v>
      </c>
      <c r="X65" s="329"/>
      <c r="Y65" s="329"/>
      <c r="Z65" s="329"/>
      <c r="AA65" s="329"/>
      <c r="AB65" s="329"/>
      <c r="AC65" s="329"/>
      <c r="AD65" s="329"/>
      <c r="AE65" s="329"/>
      <c r="AF65" s="329"/>
      <c r="AG65" s="329"/>
      <c r="AH65" s="329"/>
      <c r="AI65" s="329"/>
      <c r="AJ65" s="329"/>
      <c r="AK65" s="329"/>
      <c r="AL65" s="329"/>
      <c r="AM65" s="329"/>
      <c r="AN65" s="329"/>
      <c r="AO65" s="329"/>
      <c r="AP65" s="329"/>
      <c r="AQ65" s="329"/>
      <c r="AR65" s="329"/>
    </row>
    <row r="66" spans="1:44" x14ac:dyDescent="0.25">
      <c r="A66" s="456"/>
      <c r="B66" s="455" t="str">
        <f t="shared" ref="B66:L66" si="14">B2</f>
        <v xml:space="preserve">A </v>
      </c>
      <c r="C66" s="455" t="str">
        <f t="shared" si="14"/>
        <v>B</v>
      </c>
      <c r="D66" s="455" t="str">
        <f t="shared" si="14"/>
        <v>C</v>
      </c>
      <c r="E66" s="455" t="str">
        <f t="shared" si="14"/>
        <v>D</v>
      </c>
      <c r="F66" s="455" t="str">
        <f t="shared" si="14"/>
        <v>E</v>
      </c>
      <c r="G66" s="455" t="str">
        <f t="shared" si="14"/>
        <v>F</v>
      </c>
      <c r="H66" s="455" t="str">
        <f t="shared" si="14"/>
        <v>G</v>
      </c>
      <c r="I66" s="455" t="str">
        <f t="shared" si="14"/>
        <v>H</v>
      </c>
      <c r="J66" s="455" t="str">
        <f t="shared" si="14"/>
        <v>I</v>
      </c>
      <c r="K66" s="455" t="str">
        <f t="shared" si="14"/>
        <v>J</v>
      </c>
      <c r="L66" s="455" t="str">
        <f t="shared" si="14"/>
        <v>K</v>
      </c>
      <c r="M66" s="457"/>
      <c r="N66" s="370"/>
      <c r="O66" s="370">
        <v>47832</v>
      </c>
      <c r="P66" s="370"/>
      <c r="Q66" s="370">
        <v>44000</v>
      </c>
      <c r="R66" s="508"/>
      <c r="S66" s="329">
        <v>4.03</v>
      </c>
      <c r="T66" s="329"/>
      <c r="U66" s="329">
        <v>1773.2</v>
      </c>
      <c r="V66" s="329"/>
      <c r="W66" s="329">
        <v>45773.2</v>
      </c>
      <c r="X66" s="329"/>
      <c r="Y66" s="329"/>
      <c r="Z66" s="329"/>
      <c r="AA66" s="329"/>
      <c r="AB66" s="329"/>
      <c r="AC66" s="329"/>
      <c r="AD66" s="329"/>
      <c r="AE66" s="329"/>
      <c r="AF66" s="329"/>
      <c r="AG66" s="329"/>
      <c r="AH66" s="329"/>
      <c r="AI66" s="329"/>
      <c r="AJ66" s="329"/>
      <c r="AK66" s="329"/>
      <c r="AL66" s="329"/>
      <c r="AM66" s="329"/>
      <c r="AN66" s="329"/>
      <c r="AO66" s="329"/>
      <c r="AP66" s="329"/>
      <c r="AQ66" s="329"/>
      <c r="AR66" s="329"/>
    </row>
    <row r="67" spans="1:44" x14ac:dyDescent="0.25">
      <c r="A67" s="297"/>
      <c r="B67" s="329"/>
      <c r="C67" s="329"/>
      <c r="D67" s="329"/>
      <c r="E67" s="329"/>
      <c r="F67" s="329"/>
      <c r="G67" s="329"/>
      <c r="H67" s="329"/>
      <c r="I67" s="329"/>
      <c r="J67" s="329"/>
      <c r="K67" s="329"/>
      <c r="L67" s="329"/>
      <c r="M67" s="297"/>
      <c r="N67" s="329"/>
      <c r="O67" s="329"/>
      <c r="P67" s="329"/>
      <c r="Q67" s="329"/>
      <c r="R67" s="508"/>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row>
    <row r="68" spans="1:44" x14ac:dyDescent="0.25">
      <c r="A68" s="297"/>
      <c r="B68" s="329"/>
      <c r="C68" s="329"/>
      <c r="D68" s="329"/>
      <c r="E68" s="329"/>
      <c r="F68" s="529"/>
      <c r="G68" s="329"/>
      <c r="H68" s="329"/>
      <c r="I68" s="329"/>
      <c r="J68" s="329"/>
      <c r="K68" s="329"/>
      <c r="L68" s="329">
        <f>+L52/12</f>
        <v>3900.125</v>
      </c>
      <c r="M68" s="297"/>
      <c r="N68" s="329"/>
      <c r="O68" s="329"/>
      <c r="P68" s="329"/>
      <c r="Q68" s="329"/>
      <c r="R68" s="508"/>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row>
    <row r="69" spans="1:44" x14ac:dyDescent="0.25">
      <c r="A69" s="297"/>
      <c r="B69" s="329"/>
      <c r="C69" s="329"/>
      <c r="D69" s="329"/>
      <c r="E69" s="329"/>
      <c r="F69" s="508">
        <f>F70</f>
        <v>45182</v>
      </c>
      <c r="G69" s="530">
        <f>F43</f>
        <v>376086</v>
      </c>
      <c r="H69" s="329"/>
      <c r="I69" s="329"/>
      <c r="J69" s="329"/>
      <c r="K69" s="329"/>
      <c r="L69" s="329"/>
      <c r="M69" s="297"/>
      <c r="N69" s="329"/>
      <c r="O69" s="329">
        <v>0</v>
      </c>
      <c r="P69" s="329"/>
      <c r="Q69" s="329">
        <v>624000</v>
      </c>
      <c r="R69" s="508"/>
      <c r="S69" s="329">
        <v>0</v>
      </c>
      <c r="T69" s="329"/>
      <c r="U69" s="329">
        <v>302141.84999999998</v>
      </c>
      <c r="V69" s="329"/>
      <c r="W69" s="329">
        <v>926141.85</v>
      </c>
      <c r="X69" s="329"/>
      <c r="Y69" s="329"/>
      <c r="Z69" s="329"/>
      <c r="AA69" s="329"/>
      <c r="AB69" s="329"/>
      <c r="AC69" s="329"/>
      <c r="AD69" s="329"/>
      <c r="AE69" s="329"/>
      <c r="AF69" s="329"/>
      <c r="AG69" s="329"/>
      <c r="AH69" s="329"/>
      <c r="AI69" s="329"/>
      <c r="AJ69" s="329"/>
      <c r="AK69" s="329"/>
      <c r="AL69" s="329"/>
      <c r="AM69" s="329"/>
      <c r="AN69" s="329"/>
      <c r="AO69" s="329"/>
      <c r="AP69" s="329"/>
      <c r="AQ69" s="329"/>
      <c r="AR69" s="329"/>
    </row>
    <row r="70" spans="1:44" x14ac:dyDescent="0.25">
      <c r="A70" s="297"/>
      <c r="B70" s="329"/>
      <c r="C70" s="329"/>
      <c r="D70" s="329">
        <v>1102</v>
      </c>
      <c r="E70" s="329">
        <v>41</v>
      </c>
      <c r="F70" s="508">
        <f>E70*D70</f>
        <v>45182</v>
      </c>
      <c r="G70" s="530">
        <f>F44</f>
        <v>429813</v>
      </c>
      <c r="H70" s="329"/>
      <c r="I70" s="329"/>
      <c r="J70" s="329"/>
      <c r="K70" s="329"/>
      <c r="L70" s="329"/>
      <c r="M70" s="297"/>
      <c r="N70" s="329"/>
      <c r="O70" s="329"/>
      <c r="P70" s="329"/>
      <c r="Q70" s="329"/>
      <c r="R70" s="508"/>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row>
    <row r="71" spans="1:44" x14ac:dyDescent="0.25">
      <c r="A71" s="297"/>
      <c r="B71" s="329"/>
      <c r="C71" s="329"/>
      <c r="D71" s="329"/>
      <c r="E71" s="329"/>
      <c r="F71" s="508">
        <f>F70</f>
        <v>45182</v>
      </c>
      <c r="G71" s="530">
        <f t="shared" ref="G71:G88" si="15">F45</f>
        <v>549734</v>
      </c>
      <c r="H71" s="329"/>
      <c r="I71" s="329"/>
      <c r="J71" s="329"/>
      <c r="K71" s="329"/>
      <c r="L71" s="329"/>
      <c r="M71" s="297"/>
      <c r="N71" s="329"/>
      <c r="O71" s="329"/>
      <c r="P71" s="329"/>
      <c r="Q71" s="329"/>
      <c r="R71" s="508"/>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row>
    <row r="72" spans="1:44" x14ac:dyDescent="0.25">
      <c r="A72" s="297"/>
      <c r="B72" s="329"/>
      <c r="C72" s="329"/>
      <c r="D72" s="329"/>
      <c r="E72" s="329"/>
      <c r="F72" s="508">
        <f t="shared" ref="F72:F90" si="16">F71</f>
        <v>45182</v>
      </c>
      <c r="G72" s="530">
        <f t="shared" si="15"/>
        <v>549172</v>
      </c>
      <c r="H72" s="329"/>
      <c r="I72" s="329"/>
      <c r="J72" s="329"/>
      <c r="K72" s="329"/>
      <c r="L72" s="329"/>
      <c r="M72" s="297"/>
      <c r="N72" s="329"/>
      <c r="O72" s="329" t="s">
        <v>408</v>
      </c>
      <c r="P72" s="329"/>
      <c r="Q72" s="329"/>
      <c r="R72" s="508"/>
      <c r="S72" s="329"/>
      <c r="T72" s="329"/>
      <c r="U72" s="329"/>
      <c r="V72" s="329"/>
      <c r="W72" s="329" t="s">
        <v>352</v>
      </c>
      <c r="X72" s="329"/>
      <c r="Y72" s="329"/>
      <c r="Z72" s="329"/>
      <c r="AA72" s="329"/>
      <c r="AB72" s="329"/>
      <c r="AC72" s="329"/>
      <c r="AD72" s="329"/>
      <c r="AE72" s="329"/>
      <c r="AF72" s="329"/>
      <c r="AG72" s="329"/>
      <c r="AH72" s="329"/>
      <c r="AI72" s="329"/>
      <c r="AJ72" s="329"/>
      <c r="AK72" s="329"/>
      <c r="AL72" s="329"/>
      <c r="AM72" s="329"/>
      <c r="AN72" s="329"/>
      <c r="AO72" s="329"/>
      <c r="AP72" s="329"/>
      <c r="AQ72" s="329"/>
      <c r="AR72" s="329"/>
    </row>
    <row r="73" spans="1:44" x14ac:dyDescent="0.25">
      <c r="A73" s="297"/>
      <c r="B73" s="329"/>
      <c r="C73" s="329"/>
      <c r="D73" s="329"/>
      <c r="E73" s="329"/>
      <c r="F73" s="508">
        <f t="shared" si="16"/>
        <v>45182</v>
      </c>
      <c r="G73" s="530">
        <f t="shared" si="15"/>
        <v>552594</v>
      </c>
      <c r="H73" s="329"/>
      <c r="I73" s="329"/>
      <c r="J73" s="329"/>
      <c r="K73" s="329"/>
      <c r="L73" s="329"/>
      <c r="M73" s="297"/>
      <c r="N73" s="329"/>
      <c r="O73" s="329" t="s">
        <v>409</v>
      </c>
      <c r="P73" s="329"/>
      <c r="Q73" s="329"/>
      <c r="R73" s="508"/>
      <c r="S73" s="329"/>
      <c r="T73" s="329"/>
      <c r="U73" s="329"/>
      <c r="V73" s="329"/>
      <c r="W73" s="329" t="s">
        <v>352</v>
      </c>
      <c r="X73" s="329"/>
      <c r="Y73" s="329"/>
      <c r="Z73" s="329"/>
      <c r="AA73" s="329"/>
      <c r="AB73" s="329"/>
      <c r="AC73" s="329"/>
      <c r="AD73" s="329"/>
      <c r="AE73" s="329"/>
      <c r="AF73" s="329"/>
      <c r="AG73" s="329"/>
      <c r="AH73" s="329"/>
      <c r="AI73" s="329"/>
      <c r="AJ73" s="329"/>
      <c r="AK73" s="329"/>
      <c r="AL73" s="329"/>
      <c r="AM73" s="329"/>
      <c r="AN73" s="329"/>
      <c r="AO73" s="329"/>
      <c r="AP73" s="329"/>
      <c r="AQ73" s="329"/>
      <c r="AR73" s="329"/>
    </row>
    <row r="74" spans="1:44" x14ac:dyDescent="0.25">
      <c r="A74" s="297"/>
      <c r="B74" s="329"/>
      <c r="C74" s="329"/>
      <c r="D74" s="329"/>
      <c r="E74" s="329"/>
      <c r="F74" s="508">
        <f t="shared" si="16"/>
        <v>45182</v>
      </c>
      <c r="G74" s="530">
        <f t="shared" si="15"/>
        <v>550000</v>
      </c>
      <c r="H74" s="329"/>
      <c r="I74" s="329"/>
      <c r="J74" s="329"/>
      <c r="K74" s="329"/>
      <c r="L74" s="329"/>
      <c r="M74" s="297"/>
      <c r="N74" s="329"/>
      <c r="O74" s="329" t="s">
        <v>410</v>
      </c>
      <c r="P74" s="329"/>
      <c r="Q74" s="329"/>
      <c r="R74" s="508"/>
      <c r="S74" s="329"/>
      <c r="T74" s="329"/>
      <c r="U74" s="329"/>
      <c r="V74" s="329"/>
      <c r="W74" s="329">
        <v>7219.1333333333296</v>
      </c>
      <c r="X74" s="329"/>
      <c r="Y74" s="329"/>
      <c r="Z74" s="329"/>
      <c r="AA74" s="329"/>
      <c r="AB74" s="329"/>
      <c r="AC74" s="329"/>
      <c r="AD74" s="329"/>
      <c r="AE74" s="329"/>
      <c r="AF74" s="329"/>
      <c r="AG74" s="329"/>
      <c r="AH74" s="329"/>
      <c r="AI74" s="329"/>
      <c r="AJ74" s="329"/>
      <c r="AK74" s="329"/>
      <c r="AL74" s="329"/>
      <c r="AM74" s="329"/>
      <c r="AN74" s="329"/>
      <c r="AO74" s="329"/>
      <c r="AP74" s="329"/>
      <c r="AQ74" s="329"/>
      <c r="AR74" s="329"/>
    </row>
    <row r="75" spans="1:44" x14ac:dyDescent="0.25">
      <c r="A75" s="297"/>
      <c r="B75" s="329"/>
      <c r="C75" s="329"/>
      <c r="D75" s="329"/>
      <c r="E75" s="329"/>
      <c r="F75" s="508">
        <f t="shared" si="16"/>
        <v>45182</v>
      </c>
      <c r="G75" s="530">
        <f t="shared" si="15"/>
        <v>546594</v>
      </c>
      <c r="H75" s="329"/>
      <c r="I75" s="329"/>
      <c r="J75" s="329"/>
      <c r="K75" s="329"/>
      <c r="L75" s="329"/>
      <c r="M75" s="297"/>
      <c r="N75" s="329"/>
      <c r="O75" s="329" t="s">
        <v>411</v>
      </c>
      <c r="P75" s="329"/>
      <c r="Q75" s="329"/>
      <c r="R75" s="508"/>
      <c r="S75" s="329"/>
      <c r="T75" s="329"/>
      <c r="U75" s="329"/>
      <c r="V75" s="329"/>
      <c r="W75" s="329">
        <v>11.569123931623899</v>
      </c>
      <c r="X75" s="329"/>
      <c r="Y75" s="329"/>
      <c r="Z75" s="329"/>
      <c r="AA75" s="329"/>
      <c r="AB75" s="329"/>
      <c r="AC75" s="329"/>
      <c r="AD75" s="329"/>
      <c r="AE75" s="329"/>
      <c r="AF75" s="329"/>
      <c r="AG75" s="329"/>
      <c r="AH75" s="329"/>
      <c r="AI75" s="329"/>
      <c r="AJ75" s="329"/>
      <c r="AK75" s="329"/>
      <c r="AL75" s="329"/>
      <c r="AM75" s="329"/>
      <c r="AN75" s="329"/>
      <c r="AO75" s="329"/>
      <c r="AP75" s="329"/>
      <c r="AQ75" s="329"/>
      <c r="AR75" s="329"/>
    </row>
    <row r="76" spans="1:44" x14ac:dyDescent="0.25">
      <c r="A76" s="297"/>
      <c r="B76" s="329"/>
      <c r="C76" s="329"/>
      <c r="D76" s="329"/>
      <c r="E76" s="329"/>
      <c r="F76" s="508">
        <f t="shared" si="16"/>
        <v>45182</v>
      </c>
      <c r="G76" s="530">
        <f t="shared" si="15"/>
        <v>547172</v>
      </c>
      <c r="H76" s="329"/>
      <c r="I76" s="329"/>
      <c r="J76" s="329"/>
      <c r="K76" s="329"/>
      <c r="L76" s="329"/>
      <c r="M76" s="297"/>
      <c r="N76" s="329"/>
      <c r="O76" s="329" t="s">
        <v>412</v>
      </c>
      <c r="P76" s="329"/>
      <c r="Q76" s="329"/>
      <c r="R76" s="508"/>
      <c r="S76" s="329"/>
      <c r="T76" s="329"/>
      <c r="U76" s="329"/>
      <c r="V76" s="329"/>
      <c r="W76" s="329">
        <v>4.18529255589314</v>
      </c>
      <c r="X76" s="329"/>
      <c r="Y76" s="329"/>
      <c r="Z76" s="329"/>
      <c r="AA76" s="329"/>
      <c r="AB76" s="329"/>
      <c r="AC76" s="329"/>
      <c r="AD76" s="329"/>
      <c r="AE76" s="329"/>
      <c r="AF76" s="329"/>
      <c r="AG76" s="329"/>
      <c r="AH76" s="329"/>
      <c r="AI76" s="329"/>
      <c r="AJ76" s="329"/>
      <c r="AK76" s="329"/>
      <c r="AL76" s="329"/>
      <c r="AM76" s="329"/>
      <c r="AN76" s="329"/>
      <c r="AO76" s="329"/>
      <c r="AP76" s="329"/>
      <c r="AQ76" s="329"/>
      <c r="AR76" s="329"/>
    </row>
    <row r="77" spans="1:44" x14ac:dyDescent="0.25">
      <c r="A77" s="297"/>
      <c r="B77" s="329"/>
      <c r="C77" s="329"/>
      <c r="D77" s="329"/>
      <c r="E77" s="329"/>
      <c r="F77" s="508">
        <f t="shared" si="16"/>
        <v>45182</v>
      </c>
      <c r="G77" s="530">
        <f t="shared" si="15"/>
        <v>546531</v>
      </c>
      <c r="H77" s="329"/>
      <c r="I77" s="329"/>
      <c r="J77" s="329"/>
      <c r="K77" s="329"/>
      <c r="L77" s="329"/>
      <c r="M77" s="297"/>
      <c r="N77" s="329"/>
      <c r="O77" s="329" t="s">
        <v>409</v>
      </c>
      <c r="P77" s="329"/>
      <c r="Q77" s="329"/>
      <c r="R77" s="508"/>
      <c r="S77" s="329"/>
      <c r="T77" s="329"/>
      <c r="U77" s="329"/>
      <c r="V77" s="329"/>
      <c r="W77" s="329" t="s">
        <v>352</v>
      </c>
      <c r="X77" s="329"/>
      <c r="Y77" s="329"/>
      <c r="Z77" s="329"/>
      <c r="AA77" s="329"/>
      <c r="AB77" s="329"/>
      <c r="AC77" s="329"/>
      <c r="AD77" s="329"/>
      <c r="AE77" s="329"/>
      <c r="AF77" s="329"/>
      <c r="AG77" s="329"/>
      <c r="AH77" s="329"/>
      <c r="AI77" s="329"/>
      <c r="AJ77" s="329"/>
      <c r="AK77" s="329"/>
      <c r="AL77" s="329"/>
      <c r="AM77" s="329"/>
      <c r="AN77" s="329"/>
      <c r="AO77" s="329"/>
      <c r="AP77" s="329"/>
      <c r="AQ77" s="329"/>
      <c r="AR77" s="329"/>
    </row>
    <row r="78" spans="1:44" x14ac:dyDescent="0.25">
      <c r="A78" s="297"/>
      <c r="B78" s="329"/>
      <c r="C78" s="329"/>
      <c r="D78" s="329"/>
      <c r="E78" s="329"/>
      <c r="F78" s="508">
        <f t="shared" si="16"/>
        <v>45182</v>
      </c>
      <c r="G78" s="530">
        <f t="shared" si="15"/>
        <v>549469</v>
      </c>
      <c r="H78" s="329"/>
      <c r="I78" s="329"/>
      <c r="J78" s="329"/>
      <c r="K78" s="329"/>
      <c r="L78" s="329"/>
      <c r="M78" s="297"/>
      <c r="N78" s="329"/>
      <c r="O78" s="329" t="s">
        <v>413</v>
      </c>
      <c r="P78" s="329"/>
      <c r="Q78" s="329"/>
      <c r="R78" s="329"/>
      <c r="S78" s="329"/>
      <c r="T78" s="329"/>
      <c r="U78" s="329"/>
      <c r="V78" s="329"/>
      <c r="W78" s="329">
        <v>4.18529255589314</v>
      </c>
      <c r="X78" s="329"/>
      <c r="Y78" s="329"/>
      <c r="Z78" s="329"/>
      <c r="AA78" s="329"/>
      <c r="AB78" s="329"/>
      <c r="AC78" s="329"/>
      <c r="AD78" s="329"/>
      <c r="AE78" s="329"/>
      <c r="AF78" s="329"/>
      <c r="AG78" s="329"/>
      <c r="AH78" s="329"/>
      <c r="AI78" s="329"/>
      <c r="AJ78" s="329"/>
      <c r="AK78" s="329"/>
      <c r="AL78" s="329"/>
      <c r="AM78" s="329"/>
      <c r="AN78" s="329"/>
      <c r="AO78" s="329"/>
      <c r="AP78" s="329"/>
      <c r="AQ78" s="329"/>
      <c r="AR78" s="329"/>
    </row>
    <row r="79" spans="1:44" x14ac:dyDescent="0.25">
      <c r="A79" s="297"/>
      <c r="B79" s="329"/>
      <c r="C79" s="329"/>
      <c r="D79" s="329"/>
      <c r="E79" s="329"/>
      <c r="F79" s="508">
        <f t="shared" si="16"/>
        <v>45182</v>
      </c>
      <c r="G79" s="530">
        <f t="shared" si="15"/>
        <v>545984</v>
      </c>
      <c r="H79" s="329"/>
      <c r="I79" s="329"/>
      <c r="J79" s="329"/>
      <c r="K79" s="329"/>
      <c r="L79" s="329"/>
      <c r="M79" s="297"/>
      <c r="N79" s="329"/>
      <c r="O79" s="329" t="s">
        <v>414</v>
      </c>
      <c r="P79" s="329"/>
      <c r="Q79" s="329"/>
      <c r="R79" s="329"/>
      <c r="S79" s="329"/>
      <c r="T79" s="329"/>
      <c r="U79" s="329"/>
      <c r="V79" s="329"/>
      <c r="W79" s="329">
        <v>4.2009849312459497</v>
      </c>
      <c r="X79" s="329"/>
      <c r="Y79" s="329"/>
      <c r="Z79" s="329"/>
      <c r="AA79" s="329"/>
      <c r="AB79" s="329"/>
      <c r="AC79" s="329"/>
      <c r="AD79" s="329"/>
      <c r="AE79" s="329"/>
      <c r="AF79" s="329"/>
      <c r="AG79" s="329"/>
      <c r="AH79" s="329"/>
      <c r="AI79" s="329"/>
      <c r="AJ79" s="329"/>
      <c r="AK79" s="329"/>
      <c r="AL79" s="329"/>
      <c r="AM79" s="329"/>
      <c r="AN79" s="329"/>
      <c r="AO79" s="329"/>
      <c r="AP79" s="329"/>
      <c r="AQ79" s="329"/>
      <c r="AR79" s="329"/>
    </row>
    <row r="80" spans="1:44" x14ac:dyDescent="0.25">
      <c r="A80" s="297"/>
      <c r="B80" s="329"/>
      <c r="C80" s="329"/>
      <c r="D80" s="329"/>
      <c r="E80" s="329"/>
      <c r="F80" s="508">
        <f t="shared" si="16"/>
        <v>45182</v>
      </c>
      <c r="G80" s="530">
        <f t="shared" si="15"/>
        <v>546078</v>
      </c>
      <c r="H80" s="329"/>
      <c r="I80" s="329"/>
      <c r="J80" s="329"/>
      <c r="K80" s="329"/>
      <c r="L80" s="329"/>
      <c r="M80" s="297"/>
      <c r="N80" s="329"/>
      <c r="O80" s="329" t="s">
        <v>415</v>
      </c>
      <c r="P80" s="329"/>
      <c r="Q80" s="329"/>
      <c r="R80" s="329"/>
      <c r="S80" s="329"/>
      <c r="T80" s="329"/>
      <c r="U80" s="329"/>
      <c r="V80" s="329"/>
      <c r="W80" s="329">
        <v>4.2009849312459302</v>
      </c>
      <c r="X80" s="329"/>
      <c r="Y80" s="329"/>
      <c r="Z80" s="329"/>
      <c r="AA80" s="329"/>
      <c r="AB80" s="329"/>
      <c r="AC80" s="329"/>
      <c r="AD80" s="329"/>
      <c r="AE80" s="329"/>
      <c r="AF80" s="329"/>
      <c r="AG80" s="329"/>
      <c r="AH80" s="329"/>
      <c r="AI80" s="329"/>
      <c r="AJ80" s="329"/>
      <c r="AK80" s="329"/>
      <c r="AL80" s="329"/>
      <c r="AM80" s="329"/>
      <c r="AN80" s="329"/>
      <c r="AO80" s="329"/>
      <c r="AP80" s="329"/>
      <c r="AQ80" s="329"/>
      <c r="AR80" s="329"/>
    </row>
    <row r="81" spans="1:44" x14ac:dyDescent="0.25">
      <c r="A81" s="297"/>
      <c r="B81" s="329"/>
      <c r="C81" s="329"/>
      <c r="D81" s="329"/>
      <c r="E81" s="329"/>
      <c r="F81" s="508">
        <f t="shared" si="16"/>
        <v>45182</v>
      </c>
      <c r="G81" s="530">
        <f t="shared" si="15"/>
        <v>544547</v>
      </c>
      <c r="H81" s="329"/>
      <c r="I81" s="329"/>
      <c r="J81" s="329"/>
      <c r="K81" s="329"/>
      <c r="L81" s="329"/>
      <c r="M81" s="297"/>
      <c r="N81" s="329"/>
      <c r="O81" s="329" t="s">
        <v>416</v>
      </c>
      <c r="P81" s="329"/>
      <c r="Q81" s="329"/>
      <c r="R81" s="329"/>
      <c r="S81" s="329"/>
      <c r="T81" s="329"/>
      <c r="U81" s="329"/>
      <c r="V81" s="329"/>
      <c r="W81" s="329">
        <v>4.3651795129227899</v>
      </c>
      <c r="X81" s="329"/>
      <c r="Y81" s="329"/>
      <c r="Z81" s="329"/>
      <c r="AA81" s="329"/>
      <c r="AB81" s="329"/>
      <c r="AC81" s="329"/>
      <c r="AD81" s="329"/>
      <c r="AE81" s="329"/>
      <c r="AF81" s="329"/>
      <c r="AG81" s="329"/>
      <c r="AH81" s="329"/>
      <c r="AI81" s="329"/>
      <c r="AJ81" s="329"/>
      <c r="AK81" s="329"/>
      <c r="AL81" s="329"/>
      <c r="AM81" s="329"/>
      <c r="AN81" s="329"/>
      <c r="AO81" s="329"/>
      <c r="AP81" s="329"/>
      <c r="AQ81" s="329"/>
      <c r="AR81" s="329"/>
    </row>
    <row r="82" spans="1:44" x14ac:dyDescent="0.25">
      <c r="A82" s="297"/>
      <c r="B82" s="329"/>
      <c r="C82" s="329"/>
      <c r="D82" s="329"/>
      <c r="E82" s="329"/>
      <c r="F82" s="508">
        <f t="shared" si="16"/>
        <v>45182</v>
      </c>
      <c r="G82" s="530">
        <f t="shared" si="15"/>
        <v>546188</v>
      </c>
      <c r="H82" s="329"/>
      <c r="I82" s="329"/>
      <c r="J82" s="329"/>
      <c r="K82" s="329"/>
      <c r="L82" s="329"/>
      <c r="M82" s="297"/>
      <c r="N82" s="329"/>
      <c r="O82" s="329" t="s">
        <v>409</v>
      </c>
      <c r="P82" s="329"/>
      <c r="Q82" s="329"/>
      <c r="R82" s="329"/>
      <c r="S82" s="329"/>
      <c r="T82" s="329"/>
      <c r="U82" s="329"/>
      <c r="V82" s="329"/>
      <c r="W82" s="329" t="s">
        <v>352</v>
      </c>
      <c r="X82" s="329"/>
      <c r="Y82" s="329"/>
      <c r="Z82" s="329"/>
      <c r="AA82" s="329"/>
      <c r="AB82" s="329"/>
      <c r="AC82" s="329"/>
      <c r="AD82" s="329"/>
      <c r="AE82" s="329"/>
      <c r="AF82" s="329"/>
      <c r="AG82" s="329"/>
      <c r="AH82" s="329"/>
      <c r="AI82" s="329"/>
      <c r="AJ82" s="329"/>
      <c r="AK82" s="329"/>
      <c r="AL82" s="329"/>
      <c r="AM82" s="329"/>
      <c r="AN82" s="329"/>
      <c r="AO82" s="329"/>
      <c r="AP82" s="329"/>
      <c r="AQ82" s="329"/>
      <c r="AR82" s="329"/>
    </row>
    <row r="83" spans="1:44" x14ac:dyDescent="0.25">
      <c r="A83" s="297"/>
      <c r="B83" s="329"/>
      <c r="C83" s="329"/>
      <c r="D83" s="329"/>
      <c r="E83" s="329"/>
      <c r="F83" s="508">
        <f t="shared" si="16"/>
        <v>45182</v>
      </c>
      <c r="G83" s="530">
        <f t="shared" si="15"/>
        <v>541000</v>
      </c>
      <c r="H83" s="329"/>
      <c r="I83" s="329"/>
      <c r="J83" s="329"/>
      <c r="K83" s="329"/>
      <c r="L83" s="329"/>
      <c r="M83" s="297"/>
      <c r="N83" s="329"/>
      <c r="O83" s="329" t="s">
        <v>417</v>
      </c>
      <c r="P83" s="329"/>
      <c r="Q83" s="329"/>
      <c r="R83" s="329"/>
      <c r="S83" s="329"/>
      <c r="T83" s="329"/>
      <c r="U83" s="329"/>
      <c r="V83" s="329"/>
      <c r="W83" s="329" t="s">
        <v>352</v>
      </c>
      <c r="X83" s="329"/>
      <c r="Y83" s="329"/>
      <c r="Z83" s="329"/>
      <c r="AA83" s="329"/>
      <c r="AB83" s="329"/>
      <c r="AC83" s="329"/>
      <c r="AD83" s="329"/>
      <c r="AE83" s="329"/>
      <c r="AF83" s="329"/>
      <c r="AG83" s="329"/>
      <c r="AH83" s="329"/>
      <c r="AI83" s="329"/>
      <c r="AJ83" s="329"/>
      <c r="AK83" s="329"/>
      <c r="AL83" s="329"/>
      <c r="AM83" s="329"/>
      <c r="AN83" s="329"/>
      <c r="AO83" s="329"/>
      <c r="AP83" s="329"/>
      <c r="AQ83" s="329"/>
      <c r="AR83" s="329"/>
    </row>
    <row r="84" spans="1:44" x14ac:dyDescent="0.25">
      <c r="A84" s="297"/>
      <c r="B84" s="329"/>
      <c r="C84" s="329"/>
      <c r="D84" s="329"/>
      <c r="E84" s="329"/>
      <c r="F84" s="508">
        <f t="shared" si="16"/>
        <v>45182</v>
      </c>
      <c r="G84" s="530">
        <f t="shared" si="15"/>
        <v>543781</v>
      </c>
      <c r="H84" s="329"/>
      <c r="I84" s="329"/>
      <c r="J84" s="329"/>
      <c r="K84" s="329"/>
      <c r="L84" s="329"/>
      <c r="M84" s="297"/>
      <c r="N84" s="329"/>
      <c r="O84" s="329" t="s">
        <v>418</v>
      </c>
      <c r="P84" s="329"/>
      <c r="Q84" s="329"/>
      <c r="R84" s="329"/>
      <c r="S84" s="329"/>
      <c r="T84" s="329"/>
      <c r="U84" s="329"/>
      <c r="V84" s="329"/>
      <c r="W84" s="329">
        <v>4.18529255589314</v>
      </c>
      <c r="X84" s="329"/>
      <c r="Y84" s="329"/>
      <c r="Z84" s="329"/>
      <c r="AA84" s="329"/>
      <c r="AB84" s="329"/>
      <c r="AC84" s="329"/>
      <c r="AD84" s="329"/>
      <c r="AE84" s="329"/>
      <c r="AF84" s="329"/>
      <c r="AG84" s="329"/>
      <c r="AH84" s="329"/>
      <c r="AI84" s="329"/>
      <c r="AJ84" s="329"/>
      <c r="AK84" s="329"/>
      <c r="AL84" s="329"/>
      <c r="AM84" s="329"/>
      <c r="AN84" s="329"/>
      <c r="AO84" s="329"/>
      <c r="AP84" s="329"/>
      <c r="AQ84" s="329"/>
      <c r="AR84" s="329"/>
    </row>
    <row r="85" spans="1:44" x14ac:dyDescent="0.25">
      <c r="A85" s="297"/>
      <c r="B85" s="329"/>
      <c r="C85" s="329"/>
      <c r="D85" s="329"/>
      <c r="E85" s="329"/>
      <c r="F85" s="508">
        <f t="shared" si="16"/>
        <v>45182</v>
      </c>
      <c r="G85" s="530">
        <f t="shared" si="15"/>
        <v>539328</v>
      </c>
      <c r="H85" s="329"/>
      <c r="I85" s="329"/>
      <c r="J85" s="329"/>
      <c r="K85" s="329"/>
      <c r="L85" s="329"/>
      <c r="M85" s="297"/>
      <c r="N85" s="329"/>
      <c r="O85" s="329" t="s">
        <v>419</v>
      </c>
      <c r="P85" s="329"/>
      <c r="Q85" s="329"/>
      <c r="R85" s="329"/>
      <c r="S85" s="329"/>
      <c r="T85" s="329"/>
      <c r="U85" s="329"/>
      <c r="V85" s="329"/>
      <c r="W85" s="329">
        <v>11.569123931623899</v>
      </c>
      <c r="X85" s="329"/>
      <c r="Y85" s="329"/>
      <c r="Z85" s="329"/>
      <c r="AA85" s="329"/>
      <c r="AB85" s="329"/>
      <c r="AC85" s="329"/>
      <c r="AD85" s="329"/>
      <c r="AE85" s="329"/>
      <c r="AF85" s="329"/>
      <c r="AG85" s="329"/>
      <c r="AH85" s="329"/>
      <c r="AI85" s="329"/>
      <c r="AJ85" s="329"/>
      <c r="AK85" s="329"/>
      <c r="AL85" s="329"/>
      <c r="AM85" s="329"/>
      <c r="AN85" s="329"/>
      <c r="AO85" s="329"/>
      <c r="AP85" s="329"/>
      <c r="AQ85" s="329"/>
      <c r="AR85" s="329"/>
    </row>
    <row r="86" spans="1:44" x14ac:dyDescent="0.25">
      <c r="A86" s="297"/>
      <c r="B86" s="329"/>
      <c r="C86" s="329"/>
      <c r="D86" s="329"/>
      <c r="E86" s="329"/>
      <c r="F86" s="508">
        <f t="shared" si="16"/>
        <v>45182</v>
      </c>
      <c r="G86" s="530">
        <f t="shared" si="15"/>
        <v>537641</v>
      </c>
      <c r="H86" s="329"/>
      <c r="I86" s="329"/>
      <c r="J86" s="329"/>
      <c r="K86" s="329"/>
      <c r="L86" s="329"/>
      <c r="M86" s="297"/>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row>
    <row r="87" spans="1:44" x14ac:dyDescent="0.25">
      <c r="A87" s="297"/>
      <c r="B87" s="329"/>
      <c r="C87" s="329"/>
      <c r="D87" s="329"/>
      <c r="E87" s="329"/>
      <c r="F87" s="508">
        <f t="shared" si="16"/>
        <v>45182</v>
      </c>
      <c r="G87" s="530">
        <f t="shared" si="15"/>
        <v>538313</v>
      </c>
      <c r="H87" s="329"/>
      <c r="I87" s="329"/>
      <c r="J87" s="329"/>
      <c r="K87" s="329"/>
      <c r="L87" s="329"/>
      <c r="M87" s="297"/>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row>
    <row r="88" spans="1:44" x14ac:dyDescent="0.25">
      <c r="A88" s="297"/>
      <c r="B88" s="329"/>
      <c r="C88" s="329"/>
      <c r="D88" s="329"/>
      <c r="E88" s="329"/>
      <c r="F88" s="508">
        <f t="shared" si="16"/>
        <v>45182</v>
      </c>
      <c r="G88" s="530">
        <f t="shared" si="15"/>
        <v>536141</v>
      </c>
      <c r="H88" s="329"/>
      <c r="I88" s="329"/>
      <c r="J88" s="329"/>
      <c r="K88" s="329"/>
      <c r="L88" s="329"/>
      <c r="M88" s="297"/>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row>
    <row r="89" spans="1:44" x14ac:dyDescent="0.25">
      <c r="A89" s="297"/>
      <c r="B89" s="329"/>
      <c r="C89" s="329"/>
      <c r="D89" s="329"/>
      <c r="E89" s="329"/>
      <c r="F89" s="508">
        <f t="shared" si="16"/>
        <v>45182</v>
      </c>
      <c r="G89" s="329"/>
      <c r="H89" s="329"/>
      <c r="I89" s="329"/>
      <c r="J89" s="329"/>
      <c r="K89" s="329"/>
      <c r="L89" s="329"/>
      <c r="M89" s="297"/>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row>
    <row r="90" spans="1:44" x14ac:dyDescent="0.25">
      <c r="A90" s="297"/>
      <c r="B90" s="329"/>
      <c r="C90" s="329"/>
      <c r="D90" s="329"/>
      <c r="E90" s="329"/>
      <c r="F90" s="508">
        <f t="shared" si="16"/>
        <v>45182</v>
      </c>
      <c r="G90" s="329"/>
      <c r="H90" s="329"/>
      <c r="I90" s="329"/>
      <c r="J90" s="329"/>
      <c r="K90" s="329"/>
      <c r="L90" s="329"/>
      <c r="M90" s="297"/>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row>
    <row r="91" spans="1:44" x14ac:dyDescent="0.25">
      <c r="A91" s="297"/>
      <c r="B91" s="329"/>
      <c r="C91" s="329"/>
      <c r="D91" s="329"/>
      <c r="E91" s="329"/>
      <c r="F91" s="329"/>
      <c r="G91" s="329"/>
      <c r="H91" s="329"/>
      <c r="I91" s="329"/>
      <c r="J91" s="329"/>
      <c r="K91" s="329"/>
      <c r="L91" s="329"/>
      <c r="M91" s="297"/>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row>
    <row r="92" spans="1:44" x14ac:dyDescent="0.25">
      <c r="A92" s="297"/>
      <c r="B92" s="329"/>
      <c r="C92" s="329"/>
      <c r="D92" s="329"/>
      <c r="E92" s="329"/>
      <c r="F92" s="329"/>
      <c r="G92" s="329"/>
      <c r="H92" s="329"/>
      <c r="I92" s="329"/>
      <c r="J92" s="329"/>
      <c r="K92" s="329"/>
      <c r="L92" s="329"/>
      <c r="M92" s="297"/>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row>
    <row r="93" spans="1:44" ht="15.75" thickBot="1" x14ac:dyDescent="0.3">
      <c r="A93" s="297"/>
      <c r="B93" s="329"/>
      <c r="C93" s="329"/>
      <c r="D93" s="329"/>
      <c r="E93" s="329"/>
      <c r="F93" s="329"/>
      <c r="G93" s="329"/>
      <c r="H93" s="329"/>
      <c r="I93" s="329"/>
      <c r="J93" s="329"/>
      <c r="K93" s="329"/>
      <c r="L93" s="329"/>
      <c r="M93" s="297"/>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row>
    <row r="94" spans="1:44" x14ac:dyDescent="0.25">
      <c r="A94" s="297"/>
      <c r="B94" s="329"/>
      <c r="C94" s="329"/>
      <c r="D94" s="329"/>
      <c r="E94" s="329"/>
      <c r="F94" s="329"/>
      <c r="G94" s="329"/>
      <c r="H94" s="329"/>
      <c r="I94" s="329"/>
      <c r="J94" s="329"/>
      <c r="K94" s="329"/>
      <c r="L94" s="329"/>
      <c r="M94" s="297"/>
      <c r="N94" s="329"/>
      <c r="O94" s="329"/>
      <c r="P94" s="329"/>
      <c r="Q94" s="329"/>
      <c r="R94" s="329"/>
      <c r="S94" s="531"/>
      <c r="T94" s="532" t="s">
        <v>420</v>
      </c>
      <c r="U94" s="532" t="s">
        <v>421</v>
      </c>
      <c r="V94" s="532" t="s">
        <v>422</v>
      </c>
      <c r="W94" s="532" t="s">
        <v>423</v>
      </c>
      <c r="X94" s="533" t="s">
        <v>389</v>
      </c>
      <c r="Y94" s="329"/>
      <c r="Z94" s="329"/>
      <c r="AA94" s="329"/>
      <c r="AB94" s="329"/>
      <c r="AC94" s="329"/>
      <c r="AD94" s="329"/>
      <c r="AE94" s="329"/>
      <c r="AF94" s="329"/>
      <c r="AG94" s="329"/>
      <c r="AH94" s="329"/>
      <c r="AI94" s="329"/>
      <c r="AJ94" s="329"/>
      <c r="AK94" s="329"/>
      <c r="AL94" s="329"/>
      <c r="AM94" s="329"/>
      <c r="AN94" s="329"/>
      <c r="AO94" s="329"/>
      <c r="AP94" s="329"/>
      <c r="AQ94" s="329"/>
      <c r="AR94" s="329"/>
    </row>
    <row r="95" spans="1:44" x14ac:dyDescent="0.25">
      <c r="A95" s="297"/>
      <c r="B95" s="329"/>
      <c r="C95" s="329"/>
      <c r="D95" s="329"/>
      <c r="E95" s="329"/>
      <c r="F95" s="329"/>
      <c r="G95" s="329"/>
      <c r="H95" s="329"/>
      <c r="I95" s="329"/>
      <c r="J95" s="329"/>
      <c r="K95" s="329"/>
      <c r="L95" s="329"/>
      <c r="M95" s="297"/>
      <c r="N95" s="329"/>
      <c r="O95" s="329"/>
      <c r="P95" s="329"/>
      <c r="Q95" s="329"/>
      <c r="R95" s="329"/>
      <c r="S95" s="369">
        <v>2012</v>
      </c>
      <c r="T95" s="513">
        <f t="shared" ref="T95:T106" si="17">F26</f>
        <v>134431.25</v>
      </c>
      <c r="U95" s="507">
        <f t="shared" ref="U95:U108" si="18">L18</f>
        <v>60126.399999999994</v>
      </c>
      <c r="V95" s="471">
        <f t="shared" ref="V95:V111" si="19">F44</f>
        <v>429813</v>
      </c>
      <c r="W95" s="507">
        <f t="shared" ref="W95:W111" si="20">L44</f>
        <v>46176.7</v>
      </c>
      <c r="X95" s="534">
        <f>SUM(T95:W95)</f>
        <v>670547.35</v>
      </c>
      <c r="Y95" s="329"/>
      <c r="Z95" s="329"/>
      <c r="AA95" s="329"/>
      <c r="AB95" s="329"/>
      <c r="AC95" s="329"/>
      <c r="AD95" s="329"/>
      <c r="AE95" s="329"/>
      <c r="AF95" s="329"/>
      <c r="AG95" s="329"/>
      <c r="AH95" s="329"/>
      <c r="AI95" s="329"/>
      <c r="AJ95" s="329"/>
      <c r="AK95" s="329"/>
      <c r="AL95" s="329"/>
      <c r="AM95" s="329"/>
      <c r="AN95" s="329"/>
      <c r="AO95" s="329"/>
      <c r="AP95" s="329"/>
      <c r="AQ95" s="329"/>
      <c r="AR95" s="329"/>
    </row>
    <row r="96" spans="1:44" x14ac:dyDescent="0.25">
      <c r="A96" s="297"/>
      <c r="B96" s="329"/>
      <c r="C96" s="329"/>
      <c r="D96" s="329"/>
      <c r="E96" s="329"/>
      <c r="F96" s="329"/>
      <c r="G96" s="329"/>
      <c r="H96" s="329"/>
      <c r="I96" s="329"/>
      <c r="J96" s="329"/>
      <c r="K96" s="329"/>
      <c r="L96" s="329"/>
      <c r="M96" s="297"/>
      <c r="N96" s="329"/>
      <c r="O96" s="329"/>
      <c r="P96" s="329"/>
      <c r="Q96" s="329"/>
      <c r="R96" s="329"/>
      <c r="S96" s="369">
        <v>2013</v>
      </c>
      <c r="T96" s="513">
        <f t="shared" si="17"/>
        <v>139338.12</v>
      </c>
      <c r="U96" s="507">
        <f t="shared" si="18"/>
        <v>59281.600000000006</v>
      </c>
      <c r="V96" s="471">
        <f t="shared" si="19"/>
        <v>549734</v>
      </c>
      <c r="W96" s="507">
        <f t="shared" si="20"/>
        <v>46519.4</v>
      </c>
      <c r="X96" s="534">
        <f t="shared" ref="X96:X111" si="21">SUM(T96:W96)</f>
        <v>794873.12</v>
      </c>
      <c r="Y96" s="329"/>
      <c r="Z96" s="329"/>
      <c r="AA96" s="329"/>
      <c r="AB96" s="329"/>
      <c r="AC96" s="329"/>
      <c r="AD96" s="329"/>
      <c r="AE96" s="329"/>
      <c r="AF96" s="329"/>
      <c r="AG96" s="329"/>
      <c r="AH96" s="329"/>
      <c r="AI96" s="329"/>
      <c r="AJ96" s="329"/>
      <c r="AK96" s="329"/>
      <c r="AL96" s="329"/>
      <c r="AM96" s="329"/>
      <c r="AN96" s="329"/>
      <c r="AO96" s="329"/>
      <c r="AP96" s="329"/>
      <c r="AQ96" s="329"/>
      <c r="AR96" s="329"/>
    </row>
    <row r="97" spans="1:44" x14ac:dyDescent="0.25">
      <c r="A97" s="297"/>
      <c r="B97" s="329"/>
      <c r="C97" s="329"/>
      <c r="D97" s="329"/>
      <c r="E97" s="329"/>
      <c r="F97" s="329"/>
      <c r="G97" s="329"/>
      <c r="H97" s="329"/>
      <c r="I97" s="329"/>
      <c r="J97" s="329"/>
      <c r="K97" s="329"/>
      <c r="L97" s="329"/>
      <c r="M97" s="297"/>
      <c r="N97" s="329"/>
      <c r="O97" s="329"/>
      <c r="P97" s="329"/>
      <c r="Q97" s="329"/>
      <c r="R97" s="329"/>
      <c r="S97" s="369">
        <v>2014</v>
      </c>
      <c r="T97" s="513">
        <f t="shared" si="17"/>
        <v>144461.88</v>
      </c>
      <c r="U97" s="507">
        <f t="shared" si="18"/>
        <v>59436.800000000003</v>
      </c>
      <c r="V97" s="471">
        <f t="shared" si="19"/>
        <v>549172</v>
      </c>
      <c r="W97" s="507">
        <f t="shared" si="20"/>
        <v>46764.800000000003</v>
      </c>
      <c r="X97" s="534">
        <f t="shared" si="21"/>
        <v>799835.48</v>
      </c>
      <c r="Y97" s="329"/>
      <c r="Z97" s="329"/>
      <c r="AA97" s="329"/>
      <c r="AB97" s="329"/>
      <c r="AC97" s="329"/>
      <c r="AD97" s="329"/>
      <c r="AE97" s="329"/>
      <c r="AF97" s="329"/>
      <c r="AG97" s="329"/>
      <c r="AH97" s="329"/>
      <c r="AI97" s="329"/>
      <c r="AJ97" s="329"/>
      <c r="AK97" s="329"/>
      <c r="AL97" s="329"/>
      <c r="AM97" s="329"/>
      <c r="AN97" s="329"/>
      <c r="AO97" s="329"/>
      <c r="AP97" s="329"/>
      <c r="AQ97" s="329"/>
      <c r="AR97" s="329"/>
    </row>
    <row r="98" spans="1:44" x14ac:dyDescent="0.25">
      <c r="A98" s="297"/>
      <c r="B98" s="329"/>
      <c r="C98" s="329"/>
      <c r="D98" s="329"/>
      <c r="E98" s="329"/>
      <c r="F98" s="329"/>
      <c r="G98" s="329"/>
      <c r="H98" s="329"/>
      <c r="I98" s="329"/>
      <c r="J98" s="329"/>
      <c r="K98" s="329"/>
      <c r="L98" s="329"/>
      <c r="M98" s="297"/>
      <c r="N98" s="329"/>
      <c r="O98" s="329"/>
      <c r="P98" s="329"/>
      <c r="Q98" s="329"/>
      <c r="R98" s="329"/>
      <c r="S98" s="369">
        <v>2015</v>
      </c>
      <c r="T98" s="513">
        <f t="shared" si="17"/>
        <v>149798.26999999999</v>
      </c>
      <c r="U98" s="507">
        <f t="shared" si="18"/>
        <v>59574.399999999994</v>
      </c>
      <c r="V98" s="471">
        <f t="shared" si="19"/>
        <v>552594</v>
      </c>
      <c r="W98" s="507">
        <f t="shared" si="20"/>
        <v>45904.6</v>
      </c>
      <c r="X98" s="534">
        <f t="shared" si="21"/>
        <v>807871.2699999999</v>
      </c>
      <c r="Y98" s="329"/>
      <c r="Z98" s="329"/>
      <c r="AA98" s="329"/>
      <c r="AB98" s="329"/>
      <c r="AC98" s="329"/>
      <c r="AD98" s="329"/>
      <c r="AE98" s="329"/>
      <c r="AF98" s="329"/>
      <c r="AG98" s="329"/>
      <c r="AH98" s="329"/>
      <c r="AI98" s="329"/>
      <c r="AJ98" s="329"/>
      <c r="AK98" s="329"/>
      <c r="AL98" s="329"/>
      <c r="AM98" s="329"/>
      <c r="AN98" s="329"/>
      <c r="AO98" s="329"/>
      <c r="AP98" s="329"/>
      <c r="AQ98" s="329"/>
      <c r="AR98" s="329"/>
    </row>
    <row r="99" spans="1:44" x14ac:dyDescent="0.25">
      <c r="A99" s="297"/>
      <c r="B99" s="329"/>
      <c r="C99" s="329"/>
      <c r="D99" s="329"/>
      <c r="E99" s="329"/>
      <c r="F99" s="329"/>
      <c r="G99" s="329"/>
      <c r="H99" s="329"/>
      <c r="I99" s="329"/>
      <c r="J99" s="329"/>
      <c r="K99" s="329"/>
      <c r="L99" s="329"/>
      <c r="M99" s="297"/>
      <c r="N99" s="329"/>
      <c r="O99" s="329"/>
      <c r="P99" s="329"/>
      <c r="Q99" s="329"/>
      <c r="R99" s="329"/>
      <c r="S99" s="369">
        <v>2016</v>
      </c>
      <c r="T99" s="513">
        <f t="shared" si="17"/>
        <v>155444.38</v>
      </c>
      <c r="U99" s="507">
        <f t="shared" si="18"/>
        <v>59694.399999999994</v>
      </c>
      <c r="V99" s="471">
        <f t="shared" si="19"/>
        <v>550000</v>
      </c>
      <c r="W99" s="507">
        <f t="shared" si="20"/>
        <v>45977.7</v>
      </c>
      <c r="X99" s="534">
        <f t="shared" si="21"/>
        <v>811116.48</v>
      </c>
      <c r="Y99" s="329"/>
      <c r="Z99" s="329"/>
      <c r="AA99" s="329"/>
      <c r="AB99" s="329"/>
      <c r="AC99" s="329"/>
      <c r="AD99" s="329"/>
      <c r="AE99" s="329"/>
      <c r="AF99" s="329"/>
      <c r="AG99" s="329"/>
      <c r="AH99" s="329"/>
      <c r="AI99" s="329"/>
      <c r="AJ99" s="329"/>
      <c r="AK99" s="329"/>
      <c r="AL99" s="329"/>
      <c r="AM99" s="329"/>
      <c r="AN99" s="329"/>
      <c r="AO99" s="329"/>
      <c r="AP99" s="329"/>
      <c r="AQ99" s="329"/>
      <c r="AR99" s="329"/>
    </row>
    <row r="100" spans="1:44" x14ac:dyDescent="0.25">
      <c r="A100" s="297"/>
      <c r="B100" s="329"/>
      <c r="C100" s="329"/>
      <c r="D100" s="329"/>
      <c r="E100" s="329"/>
      <c r="F100" s="329"/>
      <c r="G100" s="329"/>
      <c r="H100" s="329"/>
      <c r="I100" s="329"/>
      <c r="J100" s="329"/>
      <c r="K100" s="329"/>
      <c r="L100" s="329"/>
      <c r="M100" s="297"/>
      <c r="N100" s="329"/>
      <c r="O100" s="329"/>
      <c r="P100" s="329"/>
      <c r="Q100" s="329"/>
      <c r="R100" s="329"/>
      <c r="S100" s="369">
        <v>2017</v>
      </c>
      <c r="T100" s="513">
        <f t="shared" si="17"/>
        <v>146665.75</v>
      </c>
      <c r="U100" s="507">
        <f t="shared" si="18"/>
        <v>59796.800000000003</v>
      </c>
      <c r="V100" s="471">
        <f t="shared" si="19"/>
        <v>546594</v>
      </c>
      <c r="W100" s="507">
        <f t="shared" si="20"/>
        <v>45914.5</v>
      </c>
      <c r="X100" s="534">
        <f t="shared" si="21"/>
        <v>798971.05</v>
      </c>
      <c r="Y100" s="329"/>
      <c r="Z100" s="329"/>
      <c r="AA100" s="329"/>
      <c r="AB100" s="329"/>
      <c r="AC100" s="329"/>
      <c r="AD100" s="329"/>
      <c r="AE100" s="329"/>
      <c r="AF100" s="329"/>
      <c r="AG100" s="329"/>
      <c r="AH100" s="329"/>
      <c r="AI100" s="329"/>
      <c r="AJ100" s="329"/>
      <c r="AK100" s="329"/>
      <c r="AL100" s="329"/>
      <c r="AM100" s="329"/>
      <c r="AN100" s="329"/>
      <c r="AO100" s="329"/>
      <c r="AP100" s="329"/>
      <c r="AQ100" s="329"/>
      <c r="AR100" s="329"/>
    </row>
    <row r="101" spans="1:44" x14ac:dyDescent="0.25">
      <c r="A101" s="297"/>
      <c r="B101" s="329"/>
      <c r="C101" s="329"/>
      <c r="D101" s="329"/>
      <c r="E101" s="329"/>
      <c r="F101" s="329"/>
      <c r="G101" s="329"/>
      <c r="H101" s="329"/>
      <c r="I101" s="329"/>
      <c r="J101" s="329"/>
      <c r="K101" s="329"/>
      <c r="L101" s="329"/>
      <c r="M101" s="297"/>
      <c r="N101" s="329"/>
      <c r="O101" s="329"/>
      <c r="P101" s="329"/>
      <c r="Q101" s="329"/>
      <c r="R101" s="329"/>
      <c r="S101" s="369">
        <v>2018</v>
      </c>
      <c r="T101" s="513">
        <f t="shared" si="17"/>
        <v>0</v>
      </c>
      <c r="U101" s="507">
        <f t="shared" si="18"/>
        <v>59881.600000000006</v>
      </c>
      <c r="V101" s="471">
        <f t="shared" si="19"/>
        <v>547172</v>
      </c>
      <c r="W101" s="507">
        <f t="shared" si="20"/>
        <v>46707</v>
      </c>
      <c r="X101" s="534">
        <f t="shared" si="21"/>
        <v>653760.6</v>
      </c>
      <c r="Y101" s="329"/>
      <c r="Z101" s="329"/>
      <c r="AA101" s="329"/>
      <c r="AB101" s="329"/>
      <c r="AC101" s="329"/>
      <c r="AD101" s="329"/>
      <c r="AE101" s="329"/>
      <c r="AF101" s="329"/>
      <c r="AG101" s="329"/>
      <c r="AH101" s="329"/>
      <c r="AI101" s="329"/>
      <c r="AJ101" s="329"/>
      <c r="AK101" s="329"/>
      <c r="AL101" s="329"/>
      <c r="AM101" s="329"/>
      <c r="AN101" s="329"/>
      <c r="AO101" s="329"/>
      <c r="AP101" s="329"/>
      <c r="AQ101" s="329"/>
      <c r="AR101" s="329"/>
    </row>
    <row r="102" spans="1:44" x14ac:dyDescent="0.25">
      <c r="A102" s="297"/>
      <c r="B102" s="329"/>
      <c r="C102" s="329"/>
      <c r="D102" s="329"/>
      <c r="E102" s="329"/>
      <c r="F102" s="329"/>
      <c r="G102" s="329"/>
      <c r="H102" s="329"/>
      <c r="I102" s="329"/>
      <c r="J102" s="329"/>
      <c r="K102" s="329"/>
      <c r="L102" s="329"/>
      <c r="M102" s="297"/>
      <c r="N102" s="329"/>
      <c r="O102" s="329"/>
      <c r="P102" s="329"/>
      <c r="Q102" s="329"/>
      <c r="R102" s="329"/>
      <c r="S102" s="369">
        <v>2019</v>
      </c>
      <c r="T102" s="513">
        <f t="shared" si="17"/>
        <v>0</v>
      </c>
      <c r="U102" s="507">
        <f t="shared" si="18"/>
        <v>59948.800000000003</v>
      </c>
      <c r="V102" s="471">
        <f t="shared" si="19"/>
        <v>546531</v>
      </c>
      <c r="W102" s="507">
        <f t="shared" si="20"/>
        <v>46321.9</v>
      </c>
      <c r="X102" s="534">
        <f t="shared" si="21"/>
        <v>652801.70000000007</v>
      </c>
      <c r="Y102" s="329"/>
      <c r="Z102" s="329"/>
      <c r="AA102" s="329"/>
      <c r="AB102" s="329"/>
      <c r="AC102" s="329"/>
      <c r="AD102" s="329"/>
      <c r="AE102" s="329"/>
      <c r="AF102" s="329"/>
      <c r="AG102" s="329"/>
      <c r="AH102" s="329"/>
      <c r="AI102" s="329"/>
      <c r="AJ102" s="329"/>
      <c r="AK102" s="329"/>
      <c r="AL102" s="329"/>
      <c r="AM102" s="329"/>
      <c r="AN102" s="329"/>
      <c r="AO102" s="329"/>
      <c r="AP102" s="329"/>
      <c r="AQ102" s="329"/>
      <c r="AR102" s="329"/>
    </row>
    <row r="103" spans="1:44" x14ac:dyDescent="0.25">
      <c r="A103" s="297"/>
      <c r="B103" s="329"/>
      <c r="C103" s="329"/>
      <c r="D103" s="329"/>
      <c r="E103" s="329"/>
      <c r="F103" s="329"/>
      <c r="G103" s="329"/>
      <c r="H103" s="329"/>
      <c r="I103" s="329"/>
      <c r="J103" s="329"/>
      <c r="K103" s="329"/>
      <c r="L103" s="329"/>
      <c r="M103" s="297"/>
      <c r="N103" s="329"/>
      <c r="O103" s="329"/>
      <c r="P103" s="329"/>
      <c r="Q103" s="329"/>
      <c r="R103" s="329"/>
      <c r="S103" s="369">
        <v>2020</v>
      </c>
      <c r="T103" s="513">
        <f t="shared" si="17"/>
        <v>0</v>
      </c>
      <c r="U103" s="507">
        <f t="shared" si="18"/>
        <v>59998.399999999994</v>
      </c>
      <c r="V103" s="471">
        <f t="shared" si="19"/>
        <v>549469</v>
      </c>
      <c r="W103" s="507">
        <f t="shared" si="20"/>
        <v>46801.5</v>
      </c>
      <c r="X103" s="534">
        <f t="shared" si="21"/>
        <v>656268.9</v>
      </c>
      <c r="Y103" s="329"/>
      <c r="Z103" s="329"/>
      <c r="AA103" s="329"/>
      <c r="AB103" s="329"/>
      <c r="AC103" s="329"/>
      <c r="AD103" s="329"/>
      <c r="AE103" s="329"/>
      <c r="AF103" s="329"/>
      <c r="AG103" s="329"/>
      <c r="AH103" s="329"/>
      <c r="AI103" s="329"/>
      <c r="AJ103" s="329"/>
      <c r="AK103" s="329"/>
      <c r="AL103" s="329"/>
      <c r="AM103" s="329"/>
      <c r="AN103" s="329"/>
      <c r="AO103" s="329"/>
      <c r="AP103" s="329"/>
      <c r="AQ103" s="329"/>
      <c r="AR103" s="329"/>
    </row>
    <row r="104" spans="1:44" x14ac:dyDescent="0.25">
      <c r="A104" s="297"/>
      <c r="B104" s="329"/>
      <c r="C104" s="329"/>
      <c r="D104" s="329"/>
      <c r="E104" s="329"/>
      <c r="F104" s="329"/>
      <c r="G104" s="329"/>
      <c r="H104" s="329"/>
      <c r="I104" s="329"/>
      <c r="J104" s="329"/>
      <c r="K104" s="329"/>
      <c r="L104" s="329"/>
      <c r="M104" s="297"/>
      <c r="N104" s="329"/>
      <c r="O104" s="329"/>
      <c r="P104" s="329"/>
      <c r="Q104" s="329"/>
      <c r="R104" s="329"/>
      <c r="S104" s="369">
        <v>2021</v>
      </c>
      <c r="T104" s="513">
        <f t="shared" si="17"/>
        <v>0</v>
      </c>
      <c r="U104" s="507">
        <f t="shared" si="18"/>
        <v>60030.399999999994</v>
      </c>
      <c r="V104" s="471">
        <f t="shared" si="19"/>
        <v>545984</v>
      </c>
      <c r="W104" s="507">
        <f t="shared" si="20"/>
        <v>46112.5</v>
      </c>
      <c r="X104" s="534">
        <f t="shared" si="21"/>
        <v>652126.9</v>
      </c>
      <c r="Y104" s="329"/>
      <c r="Z104" s="329"/>
      <c r="AA104" s="329"/>
      <c r="AB104" s="329"/>
      <c r="AC104" s="329"/>
      <c r="AD104" s="329"/>
      <c r="AE104" s="329"/>
      <c r="AF104" s="329"/>
      <c r="AG104" s="329"/>
      <c r="AH104" s="329"/>
      <c r="AI104" s="329"/>
      <c r="AJ104" s="329"/>
      <c r="AK104" s="329"/>
      <c r="AL104" s="329"/>
      <c r="AM104" s="329"/>
      <c r="AN104" s="329"/>
      <c r="AO104" s="329"/>
      <c r="AP104" s="329"/>
      <c r="AQ104" s="329"/>
      <c r="AR104" s="329"/>
    </row>
    <row r="105" spans="1:44" x14ac:dyDescent="0.25">
      <c r="A105" s="297"/>
      <c r="B105" s="329"/>
      <c r="C105" s="329"/>
      <c r="D105" s="329"/>
      <c r="E105" s="329"/>
      <c r="F105" s="329"/>
      <c r="G105" s="329"/>
      <c r="H105" s="329"/>
      <c r="I105" s="329"/>
      <c r="J105" s="329"/>
      <c r="K105" s="329"/>
      <c r="L105" s="329"/>
      <c r="M105" s="297"/>
      <c r="N105" s="329"/>
      <c r="O105" s="329"/>
      <c r="P105" s="329"/>
      <c r="Q105" s="329"/>
      <c r="R105" s="329"/>
      <c r="S105" s="369">
        <v>2022</v>
      </c>
      <c r="T105" s="513">
        <f t="shared" si="17"/>
        <v>0</v>
      </c>
      <c r="U105" s="507">
        <f t="shared" si="18"/>
        <v>60044.800000000003</v>
      </c>
      <c r="V105" s="471">
        <f t="shared" si="19"/>
        <v>546078</v>
      </c>
      <c r="W105" s="507">
        <f t="shared" si="20"/>
        <v>45863.199999999997</v>
      </c>
      <c r="X105" s="534">
        <f t="shared" si="21"/>
        <v>651986</v>
      </c>
      <c r="Y105" s="329"/>
      <c r="Z105" s="329"/>
      <c r="AA105" s="329"/>
      <c r="AB105" s="329"/>
      <c r="AC105" s="329"/>
      <c r="AD105" s="329"/>
      <c r="AE105" s="329"/>
      <c r="AF105" s="329"/>
      <c r="AG105" s="329"/>
      <c r="AH105" s="329"/>
      <c r="AI105" s="329"/>
      <c r="AJ105" s="329"/>
      <c r="AK105" s="329"/>
      <c r="AL105" s="329"/>
      <c r="AM105" s="329"/>
      <c r="AN105" s="329"/>
      <c r="AO105" s="329"/>
      <c r="AP105" s="329"/>
      <c r="AQ105" s="329"/>
      <c r="AR105" s="329"/>
    </row>
    <row r="106" spans="1:44" x14ac:dyDescent="0.25">
      <c r="A106" s="297"/>
      <c r="B106" s="329"/>
      <c r="C106" s="329"/>
      <c r="D106" s="329"/>
      <c r="E106" s="329"/>
      <c r="F106" s="329"/>
      <c r="G106" s="329"/>
      <c r="H106" s="329"/>
      <c r="I106" s="329"/>
      <c r="J106" s="329"/>
      <c r="K106" s="329"/>
      <c r="L106" s="329"/>
      <c r="M106" s="297"/>
      <c r="N106" s="329"/>
      <c r="O106" s="329"/>
      <c r="P106" s="329"/>
      <c r="Q106" s="329"/>
      <c r="R106" s="329"/>
      <c r="S106" s="369">
        <v>2023</v>
      </c>
      <c r="T106" s="513">
        <f t="shared" si="17"/>
        <v>0</v>
      </c>
      <c r="U106" s="507">
        <f t="shared" si="18"/>
        <v>59041.600000000006</v>
      </c>
      <c r="V106" s="471">
        <f t="shared" si="19"/>
        <v>544547</v>
      </c>
      <c r="W106" s="507">
        <f t="shared" si="20"/>
        <v>46573.599999999999</v>
      </c>
      <c r="X106" s="534">
        <f t="shared" si="21"/>
        <v>650162.19999999995</v>
      </c>
      <c r="Y106" s="329"/>
      <c r="Z106" s="329"/>
      <c r="AA106" s="329"/>
      <c r="AB106" s="329"/>
      <c r="AC106" s="329"/>
      <c r="AD106" s="329"/>
      <c r="AE106" s="329"/>
      <c r="AF106" s="329"/>
      <c r="AG106" s="329"/>
      <c r="AH106" s="329"/>
      <c r="AI106" s="329"/>
      <c r="AJ106" s="329"/>
      <c r="AK106" s="329"/>
      <c r="AL106" s="329"/>
      <c r="AM106" s="329"/>
      <c r="AN106" s="329"/>
      <c r="AO106" s="329"/>
      <c r="AP106" s="329"/>
      <c r="AQ106" s="329"/>
      <c r="AR106" s="329"/>
    </row>
    <row r="107" spans="1:44" x14ac:dyDescent="0.25">
      <c r="A107" s="297"/>
      <c r="B107" s="329"/>
      <c r="C107" s="329"/>
      <c r="D107" s="329"/>
      <c r="E107" s="329"/>
      <c r="F107" s="329"/>
      <c r="G107" s="329"/>
      <c r="H107" s="329"/>
      <c r="I107" s="329"/>
      <c r="J107" s="329"/>
      <c r="K107" s="329"/>
      <c r="L107" s="329"/>
      <c r="M107" s="297"/>
      <c r="N107" s="329"/>
      <c r="O107" s="329"/>
      <c r="P107" s="329"/>
      <c r="Q107" s="329"/>
      <c r="R107" s="329"/>
      <c r="S107" s="369">
        <v>2024</v>
      </c>
      <c r="T107" s="513"/>
      <c r="U107" s="507">
        <f t="shared" si="18"/>
        <v>60038.399999999994</v>
      </c>
      <c r="V107" s="471">
        <f t="shared" si="19"/>
        <v>546188</v>
      </c>
      <c r="W107" s="507">
        <f t="shared" si="20"/>
        <v>46203.4</v>
      </c>
      <c r="X107" s="534">
        <f t="shared" si="21"/>
        <v>652429.80000000005</v>
      </c>
      <c r="Y107" s="329"/>
      <c r="Z107" s="329"/>
      <c r="AA107" s="329"/>
      <c r="AB107" s="329"/>
      <c r="AC107" s="329"/>
      <c r="AD107" s="329"/>
      <c r="AE107" s="329"/>
      <c r="AF107" s="329"/>
      <c r="AG107" s="329"/>
      <c r="AH107" s="329"/>
      <c r="AI107" s="329"/>
      <c r="AJ107" s="329"/>
      <c r="AK107" s="329"/>
      <c r="AL107" s="329"/>
      <c r="AM107" s="329"/>
      <c r="AN107" s="329"/>
      <c r="AO107" s="329"/>
      <c r="AP107" s="329"/>
      <c r="AQ107" s="329"/>
      <c r="AR107" s="329"/>
    </row>
    <row r="108" spans="1:44" x14ac:dyDescent="0.25">
      <c r="A108" s="297"/>
      <c r="B108" s="329"/>
      <c r="C108" s="329"/>
      <c r="D108" s="329"/>
      <c r="E108" s="329"/>
      <c r="F108" s="329"/>
      <c r="G108" s="329"/>
      <c r="H108" s="329"/>
      <c r="I108" s="329"/>
      <c r="J108" s="329"/>
      <c r="K108" s="329"/>
      <c r="L108" s="329"/>
      <c r="M108" s="297"/>
      <c r="N108" s="329"/>
      <c r="O108" s="329"/>
      <c r="P108" s="329"/>
      <c r="Q108" s="329"/>
      <c r="R108" s="329"/>
      <c r="S108" s="369">
        <v>2025</v>
      </c>
      <c r="T108" s="513"/>
      <c r="U108" s="507">
        <f t="shared" si="18"/>
        <v>0</v>
      </c>
      <c r="V108" s="471">
        <f t="shared" si="19"/>
        <v>541000</v>
      </c>
      <c r="W108" s="507">
        <f t="shared" si="20"/>
        <v>46792.9</v>
      </c>
      <c r="X108" s="534">
        <f t="shared" si="21"/>
        <v>587792.9</v>
      </c>
      <c r="Y108" s="329"/>
      <c r="Z108" s="329"/>
      <c r="AA108" s="329"/>
      <c r="AB108" s="329"/>
      <c r="AC108" s="329"/>
      <c r="AD108" s="329"/>
      <c r="AE108" s="329"/>
      <c r="AF108" s="329"/>
      <c r="AG108" s="329"/>
      <c r="AH108" s="329"/>
      <c r="AI108" s="329"/>
      <c r="AJ108" s="329"/>
      <c r="AK108" s="329"/>
      <c r="AL108" s="329"/>
      <c r="AM108" s="329"/>
      <c r="AN108" s="329"/>
      <c r="AO108" s="329"/>
      <c r="AP108" s="329"/>
      <c r="AQ108" s="329"/>
      <c r="AR108" s="329"/>
    </row>
    <row r="109" spans="1:44" x14ac:dyDescent="0.25">
      <c r="A109" s="297"/>
      <c r="B109" s="329"/>
      <c r="C109" s="329"/>
      <c r="D109" s="329"/>
      <c r="E109" s="329"/>
      <c r="F109" s="329"/>
      <c r="G109" s="329"/>
      <c r="H109" s="329"/>
      <c r="I109" s="329"/>
      <c r="J109" s="329"/>
      <c r="K109" s="329"/>
      <c r="L109" s="329"/>
      <c r="M109" s="297"/>
      <c r="N109" s="329"/>
      <c r="O109" s="329"/>
      <c r="P109" s="329"/>
      <c r="Q109" s="329"/>
      <c r="R109" s="329"/>
      <c r="S109" s="369">
        <v>2026</v>
      </c>
      <c r="T109" s="513"/>
      <c r="U109" s="507"/>
      <c r="V109" s="471">
        <f t="shared" si="19"/>
        <v>543781</v>
      </c>
      <c r="W109" s="507">
        <f t="shared" si="20"/>
        <v>46301.8</v>
      </c>
      <c r="X109" s="534">
        <f t="shared" si="21"/>
        <v>590082.80000000005</v>
      </c>
      <c r="Y109" s="329"/>
      <c r="Z109" s="329"/>
      <c r="AA109" s="329"/>
      <c r="AB109" s="329"/>
      <c r="AC109" s="329"/>
      <c r="AD109" s="329"/>
      <c r="AE109" s="329"/>
      <c r="AF109" s="329"/>
      <c r="AG109" s="329"/>
      <c r="AH109" s="329"/>
      <c r="AI109" s="329"/>
      <c r="AJ109" s="329"/>
      <c r="AK109" s="329"/>
      <c r="AL109" s="329"/>
      <c r="AM109" s="329"/>
      <c r="AN109" s="329"/>
      <c r="AO109" s="329"/>
      <c r="AP109" s="329"/>
      <c r="AQ109" s="329"/>
      <c r="AR109" s="329"/>
    </row>
    <row r="110" spans="1:44" x14ac:dyDescent="0.25">
      <c r="A110" s="297"/>
      <c r="B110" s="329"/>
      <c r="C110" s="329"/>
      <c r="D110" s="329"/>
      <c r="E110" s="329"/>
      <c r="F110" s="329"/>
      <c r="G110" s="329"/>
      <c r="H110" s="329"/>
      <c r="I110" s="329"/>
      <c r="J110" s="329"/>
      <c r="K110" s="329"/>
      <c r="L110" s="329"/>
      <c r="M110" s="297"/>
      <c r="N110" s="329"/>
      <c r="O110" s="329"/>
      <c r="P110" s="329"/>
      <c r="Q110" s="329"/>
      <c r="R110" s="329"/>
      <c r="S110" s="369">
        <v>2027</v>
      </c>
      <c r="T110" s="513"/>
      <c r="U110" s="507"/>
      <c r="V110" s="471">
        <f t="shared" si="19"/>
        <v>539328</v>
      </c>
      <c r="W110" s="507">
        <f t="shared" si="20"/>
        <v>46770.400000000001</v>
      </c>
      <c r="X110" s="534">
        <f t="shared" si="21"/>
        <v>586098.4</v>
      </c>
      <c r="Y110" s="329"/>
      <c r="Z110" s="329"/>
      <c r="AA110" s="329"/>
      <c r="AB110" s="329"/>
      <c r="AC110" s="329"/>
      <c r="AD110" s="329"/>
      <c r="AE110" s="329"/>
      <c r="AF110" s="329"/>
      <c r="AG110" s="329"/>
      <c r="AH110" s="329"/>
      <c r="AI110" s="329"/>
      <c r="AJ110" s="329"/>
      <c r="AK110" s="329"/>
      <c r="AL110" s="329"/>
      <c r="AM110" s="329"/>
      <c r="AN110" s="329"/>
      <c r="AO110" s="329"/>
      <c r="AP110" s="329"/>
      <c r="AQ110" s="329"/>
      <c r="AR110" s="329"/>
    </row>
    <row r="111" spans="1:44" x14ac:dyDescent="0.25">
      <c r="A111" s="297"/>
      <c r="B111" s="329"/>
      <c r="C111" s="329"/>
      <c r="D111" s="329"/>
      <c r="E111" s="329"/>
      <c r="F111" s="329"/>
      <c r="G111" s="329"/>
      <c r="H111" s="329"/>
      <c r="I111" s="329"/>
      <c r="J111" s="329"/>
      <c r="K111" s="329"/>
      <c r="L111" s="329"/>
      <c r="M111" s="297"/>
      <c r="N111" s="329"/>
      <c r="O111" s="329"/>
      <c r="P111" s="329"/>
      <c r="Q111" s="329"/>
      <c r="R111" s="329"/>
      <c r="S111" s="369">
        <v>2028</v>
      </c>
      <c r="T111" s="513"/>
      <c r="U111" s="507"/>
      <c r="V111" s="471">
        <f t="shared" si="19"/>
        <v>537641</v>
      </c>
      <c r="W111" s="507">
        <f t="shared" si="20"/>
        <v>46158.400000000001</v>
      </c>
      <c r="X111" s="534">
        <f t="shared" si="21"/>
        <v>583799.4</v>
      </c>
      <c r="Y111" s="329"/>
      <c r="Z111" s="329"/>
      <c r="AA111" s="329"/>
      <c r="AB111" s="329"/>
      <c r="AC111" s="329"/>
      <c r="AD111" s="329"/>
      <c r="AE111" s="329"/>
      <c r="AF111" s="329"/>
      <c r="AG111" s="329"/>
      <c r="AH111" s="329"/>
      <c r="AI111" s="329"/>
      <c r="AJ111" s="329"/>
      <c r="AK111" s="329"/>
      <c r="AL111" s="329"/>
      <c r="AM111" s="329"/>
      <c r="AN111" s="329"/>
      <c r="AO111" s="329"/>
      <c r="AP111" s="329"/>
      <c r="AQ111" s="329"/>
      <c r="AR111" s="329"/>
    </row>
  </sheetData>
  <mergeCells count="4">
    <mergeCell ref="B15:F15"/>
    <mergeCell ref="H15:L15"/>
    <mergeCell ref="B41:F41"/>
    <mergeCell ref="H41:L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AD2F-2043-4316-8B50-E2554EC01587}">
  <dimension ref="A1:O54"/>
  <sheetViews>
    <sheetView topLeftCell="C34" workbookViewId="0">
      <selection activeCell="N49" sqref="N49"/>
    </sheetView>
  </sheetViews>
  <sheetFormatPr defaultRowHeight="15" x14ac:dyDescent="0.25"/>
  <cols>
    <col min="1" max="1" width="3.28515625" bestFit="1" customWidth="1"/>
    <col min="2" max="2" width="69.85546875" customWidth="1"/>
    <col min="3" max="3" width="48.140625" bestFit="1" customWidth="1"/>
    <col min="4" max="4" width="8.28515625" bestFit="1" customWidth="1"/>
    <col min="5" max="5" width="9.85546875" bestFit="1" customWidth="1"/>
    <col min="6" max="6" width="12" bestFit="1" customWidth="1"/>
    <col min="7" max="8" width="10" bestFit="1" customWidth="1"/>
    <col min="9" max="14" width="11" bestFit="1" customWidth="1"/>
    <col min="15" max="15" width="3.28515625" bestFit="1" customWidth="1"/>
  </cols>
  <sheetData>
    <row r="1" spans="1:15" ht="23.25" x14ac:dyDescent="0.35">
      <c r="A1" s="329"/>
      <c r="B1" s="298" t="s">
        <v>357</v>
      </c>
      <c r="C1" s="299"/>
      <c r="D1" s="299"/>
      <c r="E1" s="299"/>
      <c r="F1" s="403"/>
      <c r="G1" s="299"/>
      <c r="H1" s="299"/>
      <c r="I1" s="299"/>
      <c r="J1" s="299"/>
      <c r="K1" s="329"/>
      <c r="L1" s="329"/>
      <c r="M1" s="329"/>
      <c r="N1" s="329"/>
      <c r="O1" s="329"/>
    </row>
    <row r="2" spans="1:15" ht="18.75" x14ac:dyDescent="0.3">
      <c r="A2" s="329"/>
      <c r="B2" s="983"/>
      <c r="C2" s="983"/>
      <c r="D2" s="983"/>
      <c r="E2" s="983"/>
      <c r="F2" s="983"/>
      <c r="G2" s="983"/>
      <c r="H2" s="983"/>
      <c r="I2" s="983"/>
      <c r="J2" s="983"/>
      <c r="K2" s="329"/>
      <c r="L2" s="329"/>
      <c r="M2" s="329"/>
      <c r="N2" s="329"/>
      <c r="O2" s="329"/>
    </row>
    <row r="3" spans="1:15" x14ac:dyDescent="0.25">
      <c r="A3" s="329"/>
      <c r="B3" s="329"/>
      <c r="C3" s="329"/>
      <c r="D3" s="329"/>
      <c r="E3" s="329"/>
      <c r="F3" s="329"/>
      <c r="G3" s="329"/>
      <c r="H3" s="329"/>
      <c r="I3" s="329"/>
      <c r="J3" s="329"/>
      <c r="K3" s="329"/>
      <c r="L3" s="329"/>
      <c r="M3" s="329"/>
      <c r="N3" s="329"/>
      <c r="O3" s="329"/>
    </row>
    <row r="4" spans="1:15" ht="16.5" thickBot="1" x14ac:dyDescent="0.3">
      <c r="A4" s="309"/>
      <c r="B4" s="309" t="s">
        <v>270</v>
      </c>
      <c r="C4" s="309" t="s">
        <v>271</v>
      </c>
      <c r="D4" s="309" t="s">
        <v>272</v>
      </c>
      <c r="E4" s="309" t="s">
        <v>273</v>
      </c>
      <c r="F4" s="309" t="s">
        <v>274</v>
      </c>
      <c r="G4" s="309" t="s">
        <v>275</v>
      </c>
      <c r="H4" s="309" t="s">
        <v>276</v>
      </c>
      <c r="I4" s="309" t="s">
        <v>277</v>
      </c>
      <c r="J4" s="309" t="s">
        <v>278</v>
      </c>
      <c r="K4" s="309" t="s">
        <v>279</v>
      </c>
      <c r="L4" s="309" t="s">
        <v>280</v>
      </c>
      <c r="M4" s="309" t="s">
        <v>281</v>
      </c>
      <c r="N4" s="309" t="s">
        <v>315</v>
      </c>
      <c r="O4" s="309"/>
    </row>
    <row r="5" spans="1:15" ht="15.75" x14ac:dyDescent="0.25">
      <c r="A5" s="309">
        <f>A4+1</f>
        <v>1</v>
      </c>
      <c r="B5" s="404"/>
      <c r="C5" s="405"/>
      <c r="D5" s="405"/>
      <c r="E5" s="405"/>
      <c r="F5" s="405"/>
      <c r="G5" s="405"/>
      <c r="H5" s="405"/>
      <c r="I5" s="405"/>
      <c r="J5" s="405"/>
      <c r="K5" s="405"/>
      <c r="L5" s="405"/>
      <c r="M5" s="405"/>
      <c r="N5" s="406"/>
      <c r="O5" s="309">
        <f t="shared" ref="O5:O53" si="0">A5</f>
        <v>1</v>
      </c>
    </row>
    <row r="6" spans="1:15" ht="15.75" x14ac:dyDescent="0.25">
      <c r="A6" s="309">
        <f t="shared" ref="A6:A53" si="1">A5+1</f>
        <v>2</v>
      </c>
      <c r="B6" s="407"/>
      <c r="C6" s="408"/>
      <c r="D6" s="408"/>
      <c r="E6" s="408"/>
      <c r="F6" s="408"/>
      <c r="G6" s="408"/>
      <c r="H6" s="408"/>
      <c r="I6" s="408"/>
      <c r="J6" s="408"/>
      <c r="K6" s="408"/>
      <c r="L6" s="408"/>
      <c r="M6" s="408"/>
      <c r="N6" s="409"/>
      <c r="O6" s="309">
        <f t="shared" si="0"/>
        <v>2</v>
      </c>
    </row>
    <row r="7" spans="1:15" ht="16.5" thickBot="1" x14ac:dyDescent="0.3">
      <c r="A7" s="309">
        <f t="shared" si="1"/>
        <v>3</v>
      </c>
      <c r="B7" s="410"/>
      <c r="C7" s="411"/>
      <c r="D7" s="411" t="s">
        <v>358</v>
      </c>
      <c r="E7" s="411" t="s">
        <v>359</v>
      </c>
      <c r="F7" s="411"/>
      <c r="G7" s="411"/>
      <c r="H7" s="412"/>
      <c r="I7" s="412"/>
      <c r="J7" s="412"/>
      <c r="K7" s="412"/>
      <c r="L7" s="412"/>
      <c r="M7" s="412"/>
      <c r="N7" s="413"/>
      <c r="O7" s="309">
        <f t="shared" si="0"/>
        <v>3</v>
      </c>
    </row>
    <row r="8" spans="1:15" ht="15.75" x14ac:dyDescent="0.25">
      <c r="A8" s="309">
        <f t="shared" si="1"/>
        <v>4</v>
      </c>
      <c r="B8" s="414">
        <f>SUM(F9:N9)/SUM(F9:N9,F19:N19)</f>
        <v>0.24980628967928814</v>
      </c>
      <c r="C8" s="415" t="s">
        <v>360</v>
      </c>
      <c r="D8" s="415">
        <v>101</v>
      </c>
      <c r="E8" s="415"/>
      <c r="F8" s="415">
        <v>2016</v>
      </c>
      <c r="G8" s="415">
        <f>F8+1</f>
        <v>2017</v>
      </c>
      <c r="H8" s="415">
        <f t="shared" ref="H8:N8" si="2">G8+1</f>
        <v>2018</v>
      </c>
      <c r="I8" s="415">
        <f t="shared" si="2"/>
        <v>2019</v>
      </c>
      <c r="J8" s="415">
        <f t="shared" si="2"/>
        <v>2020</v>
      </c>
      <c r="K8" s="415">
        <f t="shared" si="2"/>
        <v>2021</v>
      </c>
      <c r="L8" s="415">
        <f t="shared" si="2"/>
        <v>2022</v>
      </c>
      <c r="M8" s="415">
        <f t="shared" si="2"/>
        <v>2023</v>
      </c>
      <c r="N8" s="416">
        <f t="shared" si="2"/>
        <v>2024</v>
      </c>
      <c r="O8" s="309">
        <f t="shared" si="0"/>
        <v>4</v>
      </c>
    </row>
    <row r="9" spans="1:15" ht="15.75" x14ac:dyDescent="0.25">
      <c r="A9" s="309">
        <f t="shared" si="1"/>
        <v>5</v>
      </c>
      <c r="B9" s="369"/>
      <c r="C9" s="370" t="s">
        <v>361</v>
      </c>
      <c r="D9" s="370"/>
      <c r="E9" s="370"/>
      <c r="F9" s="417">
        <f>[1]Inputs!E213</f>
        <v>166631.91999999998</v>
      </c>
      <c r="G9" s="417">
        <f>[1]Inputs!F213</f>
        <v>170797.71799999999</v>
      </c>
      <c r="H9" s="417">
        <f>[1]Inputs!G213</f>
        <v>175067.66094999999</v>
      </c>
      <c r="I9" s="417">
        <f>[1]Inputs!H213</f>
        <v>179444.35247374998</v>
      </c>
      <c r="J9" s="417">
        <f>[1]Inputs!I213</f>
        <v>183930.46128559369</v>
      </c>
      <c r="K9" s="417">
        <f>[1]Inputs!J213</f>
        <v>93447.5</v>
      </c>
      <c r="L9" s="417">
        <f>[1]Inputs!K213</f>
        <v>167217</v>
      </c>
      <c r="M9" s="417">
        <f>[1]Inputs!L213</f>
        <v>171397.42499999999</v>
      </c>
      <c r="N9" s="418">
        <f>[1]Inputs!M213</f>
        <v>175682.36062499997</v>
      </c>
      <c r="O9" s="309">
        <f t="shared" si="0"/>
        <v>5</v>
      </c>
    </row>
    <row r="10" spans="1:15" ht="15.75" x14ac:dyDescent="0.25">
      <c r="A10" s="309">
        <f t="shared" si="1"/>
        <v>6</v>
      </c>
      <c r="B10" s="369"/>
      <c r="C10" s="370" t="s">
        <v>362</v>
      </c>
      <c r="D10" s="370"/>
      <c r="E10" s="370"/>
      <c r="F10" s="350">
        <v>800</v>
      </c>
      <c r="G10" s="350">
        <v>800</v>
      </c>
      <c r="H10" s="350">
        <v>800</v>
      </c>
      <c r="I10" s="350">
        <v>800</v>
      </c>
      <c r="J10" s="350">
        <v>800</v>
      </c>
      <c r="K10" s="350">
        <v>800</v>
      </c>
      <c r="L10" s="350">
        <v>800</v>
      </c>
      <c r="M10" s="350">
        <v>800</v>
      </c>
      <c r="N10" s="419">
        <v>800</v>
      </c>
      <c r="O10" s="309">
        <f t="shared" si="0"/>
        <v>6</v>
      </c>
    </row>
    <row r="11" spans="1:15" ht="15.75" x14ac:dyDescent="0.25">
      <c r="A11" s="309">
        <f t="shared" si="1"/>
        <v>7</v>
      </c>
      <c r="B11" s="369"/>
      <c r="C11" s="370" t="s">
        <v>363</v>
      </c>
      <c r="D11" s="370"/>
      <c r="E11" s="370"/>
      <c r="F11" s="350">
        <v>2.2999999999999998</v>
      </c>
      <c r="G11" s="350">
        <v>2.2999999999999998</v>
      </c>
      <c r="H11" s="350">
        <v>2.2999999999999998</v>
      </c>
      <c r="I11" s="350">
        <v>2.2999999999999998</v>
      </c>
      <c r="J11" s="350">
        <v>2.2999999999999998</v>
      </c>
      <c r="K11" s="350">
        <v>2.2999999999999998</v>
      </c>
      <c r="L11" s="350">
        <v>2.2999999999999998</v>
      </c>
      <c r="M11" s="350">
        <v>2.2999999999999998</v>
      </c>
      <c r="N11" s="419">
        <v>2.2999999999999998</v>
      </c>
      <c r="O11" s="309">
        <f t="shared" si="0"/>
        <v>7</v>
      </c>
    </row>
    <row r="12" spans="1:15" ht="15.75" x14ac:dyDescent="0.25">
      <c r="A12" s="309">
        <f t="shared" si="1"/>
        <v>8</v>
      </c>
      <c r="B12" s="369"/>
      <c r="C12" s="370" t="s">
        <v>364</v>
      </c>
      <c r="D12" s="370"/>
      <c r="E12" s="370"/>
      <c r="F12" s="350">
        <v>800</v>
      </c>
      <c r="G12" s="350">
        <f>F12*1.02</f>
        <v>816</v>
      </c>
      <c r="H12" s="350">
        <f t="shared" ref="H12:N12" si="3">G12*1.02</f>
        <v>832.32</v>
      </c>
      <c r="I12" s="350">
        <f t="shared" si="3"/>
        <v>848.96640000000002</v>
      </c>
      <c r="J12" s="350">
        <f t="shared" si="3"/>
        <v>865.94572800000003</v>
      </c>
      <c r="K12" s="350">
        <f t="shared" si="3"/>
        <v>883.26464256000008</v>
      </c>
      <c r="L12" s="350">
        <f t="shared" si="3"/>
        <v>900.92993541120006</v>
      </c>
      <c r="M12" s="350">
        <f t="shared" si="3"/>
        <v>918.94853411942404</v>
      </c>
      <c r="N12" s="419">
        <f t="shared" si="3"/>
        <v>937.32750480181255</v>
      </c>
      <c r="O12" s="309">
        <f t="shared" si="0"/>
        <v>8</v>
      </c>
    </row>
    <row r="13" spans="1:15" ht="15.75" x14ac:dyDescent="0.25">
      <c r="A13" s="309">
        <f t="shared" si="1"/>
        <v>9</v>
      </c>
      <c r="B13" s="369"/>
      <c r="C13" s="370" t="s">
        <v>365</v>
      </c>
      <c r="D13" s="370"/>
      <c r="E13" s="370"/>
      <c r="F13" s="350">
        <f>F10*F11*12</f>
        <v>22079.999999999996</v>
      </c>
      <c r="G13" s="350">
        <f t="shared" ref="G13:N13" si="4">G10*G11*12</f>
        <v>22079.999999999996</v>
      </c>
      <c r="H13" s="350">
        <f t="shared" si="4"/>
        <v>22079.999999999996</v>
      </c>
      <c r="I13" s="350">
        <f t="shared" si="4"/>
        <v>22079.999999999996</v>
      </c>
      <c r="J13" s="350">
        <f t="shared" si="4"/>
        <v>22079.999999999996</v>
      </c>
      <c r="K13" s="350">
        <f t="shared" si="4"/>
        <v>22079.999999999996</v>
      </c>
      <c r="L13" s="350">
        <f t="shared" si="4"/>
        <v>22079.999999999996</v>
      </c>
      <c r="M13" s="350">
        <f t="shared" si="4"/>
        <v>22079.999999999996</v>
      </c>
      <c r="N13" s="419">
        <f t="shared" si="4"/>
        <v>22079.999999999996</v>
      </c>
      <c r="O13" s="309">
        <f t="shared" si="0"/>
        <v>9</v>
      </c>
    </row>
    <row r="14" spans="1:15" ht="15.75" x14ac:dyDescent="0.25">
      <c r="A14" s="309">
        <f t="shared" si="1"/>
        <v>10</v>
      </c>
      <c r="B14" s="369"/>
      <c r="C14" s="402" t="s">
        <v>366</v>
      </c>
      <c r="D14" s="402"/>
      <c r="E14" s="402"/>
      <c r="F14" s="420">
        <f>F9/F13</f>
        <v>7.5467355072463773</v>
      </c>
      <c r="G14" s="420">
        <f t="shared" ref="G14:N14" si="5">G9/G13</f>
        <v>7.7354038949275372</v>
      </c>
      <c r="H14" s="420">
        <f>H9/H13</f>
        <v>7.9287889923007251</v>
      </c>
      <c r="I14" s="420">
        <f t="shared" si="5"/>
        <v>8.127008717108243</v>
      </c>
      <c r="J14" s="420">
        <f t="shared" si="5"/>
        <v>8.3301839350359472</v>
      </c>
      <c r="K14" s="420">
        <f t="shared" si="5"/>
        <v>4.2322237318840585</v>
      </c>
      <c r="L14" s="420">
        <f t="shared" si="5"/>
        <v>7.5732336956521751</v>
      </c>
      <c r="M14" s="420">
        <f t="shared" si="5"/>
        <v>7.7625645380434793</v>
      </c>
      <c r="N14" s="421">
        <f t="shared" si="5"/>
        <v>7.9566286514945652</v>
      </c>
      <c r="O14" s="309">
        <f t="shared" si="0"/>
        <v>10</v>
      </c>
    </row>
    <row r="15" spans="1:15" ht="15.75" x14ac:dyDescent="0.25">
      <c r="A15" s="309">
        <f t="shared" si="1"/>
        <v>11</v>
      </c>
      <c r="B15" s="369"/>
      <c r="C15" s="370"/>
      <c r="D15" s="370"/>
      <c r="E15" s="370"/>
      <c r="F15" s="350"/>
      <c r="G15" s="350"/>
      <c r="H15" s="350"/>
      <c r="I15" s="350"/>
      <c r="J15" s="350"/>
      <c r="K15" s="350"/>
      <c r="L15" s="350"/>
      <c r="M15" s="350"/>
      <c r="N15" s="419"/>
      <c r="O15" s="309">
        <f t="shared" si="0"/>
        <v>11</v>
      </c>
    </row>
    <row r="16" spans="1:15" ht="15.75" x14ac:dyDescent="0.25">
      <c r="A16" s="309">
        <f t="shared" si="1"/>
        <v>12</v>
      </c>
      <c r="B16" s="422"/>
      <c r="C16" s="423" t="s">
        <v>367</v>
      </c>
      <c r="D16" s="423"/>
      <c r="E16" s="423"/>
      <c r="F16" s="424">
        <f>F14*F11</f>
        <v>17.357491666666668</v>
      </c>
      <c r="G16" s="424">
        <f>G14*G11</f>
        <v>17.791428958333334</v>
      </c>
      <c r="H16" s="424">
        <f t="shared" ref="H16:N16" si="6">H14*H11</f>
        <v>18.236214682291667</v>
      </c>
      <c r="I16" s="424">
        <f t="shared" si="6"/>
        <v>18.692120049348958</v>
      </c>
      <c r="J16" s="424">
        <f t="shared" si="6"/>
        <v>19.159423050582678</v>
      </c>
      <c r="K16" s="424">
        <f t="shared" si="6"/>
        <v>9.7341145833333336</v>
      </c>
      <c r="L16" s="424">
        <f t="shared" si="6"/>
        <v>17.4184375</v>
      </c>
      <c r="M16" s="424">
        <f t="shared" si="6"/>
        <v>17.8538984375</v>
      </c>
      <c r="N16" s="425">
        <f t="shared" si="6"/>
        <v>18.300245898437499</v>
      </c>
      <c r="O16" s="309">
        <f t="shared" si="0"/>
        <v>12</v>
      </c>
    </row>
    <row r="17" spans="1:15" ht="16.5" thickBot="1" x14ac:dyDescent="0.3">
      <c r="A17" s="309">
        <f t="shared" si="1"/>
        <v>13</v>
      </c>
      <c r="B17" s="426"/>
      <c r="C17" s="427"/>
      <c r="D17" s="427"/>
      <c r="E17" s="427"/>
      <c r="F17" s="427"/>
      <c r="G17" s="427"/>
      <c r="H17" s="427"/>
      <c r="I17" s="427"/>
      <c r="J17" s="427"/>
      <c r="K17" s="427"/>
      <c r="L17" s="427"/>
      <c r="M17" s="427"/>
      <c r="N17" s="428"/>
      <c r="O17" s="309">
        <f t="shared" si="0"/>
        <v>13</v>
      </c>
    </row>
    <row r="18" spans="1:15" ht="15.75" x14ac:dyDescent="0.25">
      <c r="A18" s="309">
        <f t="shared" si="1"/>
        <v>14</v>
      </c>
      <c r="B18" s="414">
        <f>1-B8</f>
        <v>0.75019371032071192</v>
      </c>
      <c r="C18" s="415" t="s">
        <v>368</v>
      </c>
      <c r="D18" s="415">
        <v>201</v>
      </c>
      <c r="E18" s="415"/>
      <c r="F18" s="415">
        <v>2016</v>
      </c>
      <c r="G18" s="415">
        <f>F18+1</f>
        <v>2017</v>
      </c>
      <c r="H18" s="415">
        <f t="shared" ref="H18:N18" si="7">G18+1</f>
        <v>2018</v>
      </c>
      <c r="I18" s="415">
        <f t="shared" si="7"/>
        <v>2019</v>
      </c>
      <c r="J18" s="415">
        <f t="shared" si="7"/>
        <v>2020</v>
      </c>
      <c r="K18" s="415">
        <f t="shared" si="7"/>
        <v>2021</v>
      </c>
      <c r="L18" s="415">
        <f t="shared" si="7"/>
        <v>2022</v>
      </c>
      <c r="M18" s="415">
        <f t="shared" si="7"/>
        <v>2023</v>
      </c>
      <c r="N18" s="416">
        <f t="shared" si="7"/>
        <v>2024</v>
      </c>
      <c r="O18" s="309">
        <f t="shared" si="0"/>
        <v>14</v>
      </c>
    </row>
    <row r="19" spans="1:15" ht="15.75" x14ac:dyDescent="0.25">
      <c r="A19" s="309">
        <f t="shared" si="1"/>
        <v>15</v>
      </c>
      <c r="B19" s="369"/>
      <c r="C19" s="370" t="s">
        <v>361</v>
      </c>
      <c r="D19" s="370"/>
      <c r="E19" s="370"/>
      <c r="F19" s="417">
        <f>[1]Inputs!E153</f>
        <v>394877.64799999999</v>
      </c>
      <c r="G19" s="417">
        <f>[1]Inputs!F153</f>
        <v>404749.58919999993</v>
      </c>
      <c r="H19" s="417">
        <f>[1]Inputs!G153</f>
        <v>414868.32892999996</v>
      </c>
      <c r="I19" s="417">
        <f>[1]Inputs!H153</f>
        <v>425240.0371532499</v>
      </c>
      <c r="J19" s="417">
        <f>[1]Inputs!I153</f>
        <v>435871.03808208113</v>
      </c>
      <c r="K19" s="417">
        <f>[1]Inputs!J153</f>
        <v>542260.5</v>
      </c>
      <c r="L19" s="417">
        <f>[1]Inputs!K153</f>
        <v>597466.82000000007</v>
      </c>
      <c r="M19" s="417">
        <f>[1]Inputs!L153</f>
        <v>612403.49049999996</v>
      </c>
      <c r="N19" s="418">
        <f>[1]Inputs!M153</f>
        <v>627713.57776249992</v>
      </c>
      <c r="O19" s="309">
        <f t="shared" si="0"/>
        <v>15</v>
      </c>
    </row>
    <row r="20" spans="1:15" ht="15.75" x14ac:dyDescent="0.25">
      <c r="A20" s="309">
        <f t="shared" si="1"/>
        <v>16</v>
      </c>
      <c r="B20" s="369"/>
      <c r="C20" s="370" t="s">
        <v>362</v>
      </c>
      <c r="D20" s="370"/>
      <c r="E20" s="370"/>
      <c r="F20" s="350">
        <v>1535</v>
      </c>
      <c r="G20" s="350">
        <f>F20</f>
        <v>1535</v>
      </c>
      <c r="H20" s="350">
        <f t="shared" ref="H20:N20" si="8">G20</f>
        <v>1535</v>
      </c>
      <c r="I20" s="350">
        <f t="shared" si="8"/>
        <v>1535</v>
      </c>
      <c r="J20" s="350">
        <f t="shared" si="8"/>
        <v>1535</v>
      </c>
      <c r="K20" s="350">
        <f t="shared" si="8"/>
        <v>1535</v>
      </c>
      <c r="L20" s="350">
        <f t="shared" si="8"/>
        <v>1535</v>
      </c>
      <c r="M20" s="350">
        <f t="shared" si="8"/>
        <v>1535</v>
      </c>
      <c r="N20" s="419">
        <f t="shared" si="8"/>
        <v>1535</v>
      </c>
      <c r="O20" s="309">
        <f t="shared" si="0"/>
        <v>16</v>
      </c>
    </row>
    <row r="21" spans="1:15" ht="16.5" thickBot="1" x14ac:dyDescent="0.3">
      <c r="A21" s="309">
        <f t="shared" si="1"/>
        <v>17</v>
      </c>
      <c r="B21" s="429"/>
      <c r="C21" s="430" t="s">
        <v>367</v>
      </c>
      <c r="D21" s="430"/>
      <c r="E21" s="430"/>
      <c r="F21" s="431">
        <f>F19/F20/12</f>
        <v>21.437440173724212</v>
      </c>
      <c r="G21" s="431">
        <f>G19/G20/12</f>
        <v>21.973376178067312</v>
      </c>
      <c r="H21" s="431">
        <f t="shared" ref="H21:N21" si="9">H19/H20/12</f>
        <v>22.522710582518997</v>
      </c>
      <c r="I21" s="431">
        <f t="shared" si="9"/>
        <v>23.08577834708197</v>
      </c>
      <c r="J21" s="431">
        <f t="shared" si="9"/>
        <v>23.66292280575902</v>
      </c>
      <c r="K21" s="431">
        <f t="shared" si="9"/>
        <v>29.438680781758958</v>
      </c>
      <c r="L21" s="431">
        <f t="shared" si="9"/>
        <v>32.435766558089036</v>
      </c>
      <c r="M21" s="431">
        <f t="shared" si="9"/>
        <v>33.246660722041256</v>
      </c>
      <c r="N21" s="432">
        <f t="shared" si="9"/>
        <v>34.077827240092283</v>
      </c>
      <c r="O21" s="309">
        <f t="shared" si="0"/>
        <v>17</v>
      </c>
    </row>
    <row r="22" spans="1:15" ht="16.5" thickBot="1" x14ac:dyDescent="0.3">
      <c r="A22" s="309">
        <f t="shared" si="1"/>
        <v>18</v>
      </c>
      <c r="B22" s="369"/>
      <c r="C22" s="370"/>
      <c r="D22" s="370"/>
      <c r="E22" s="370"/>
      <c r="F22" s="370"/>
      <c r="G22" s="370"/>
      <c r="H22" s="370"/>
      <c r="I22" s="370"/>
      <c r="J22" s="370"/>
      <c r="K22" s="370"/>
      <c r="L22" s="370"/>
      <c r="M22" s="370"/>
      <c r="N22" s="372"/>
      <c r="O22" s="309">
        <f t="shared" si="0"/>
        <v>18</v>
      </c>
    </row>
    <row r="23" spans="1:15" ht="15.75" x14ac:dyDescent="0.25">
      <c r="A23" s="309">
        <f t="shared" si="1"/>
        <v>19</v>
      </c>
      <c r="B23" s="433"/>
      <c r="C23" s="415" t="s">
        <v>369</v>
      </c>
      <c r="D23" s="415">
        <v>301</v>
      </c>
      <c r="E23" s="415"/>
      <c r="F23" s="415">
        <v>2016</v>
      </c>
      <c r="G23" s="415">
        <f>F23+1</f>
        <v>2017</v>
      </c>
      <c r="H23" s="415">
        <f t="shared" ref="H23:N23" si="10">G23+1</f>
        <v>2018</v>
      </c>
      <c r="I23" s="415">
        <f t="shared" si="10"/>
        <v>2019</v>
      </c>
      <c r="J23" s="415">
        <f t="shared" si="10"/>
        <v>2020</v>
      </c>
      <c r="K23" s="415">
        <f t="shared" si="10"/>
        <v>2021</v>
      </c>
      <c r="L23" s="415">
        <f t="shared" si="10"/>
        <v>2022</v>
      </c>
      <c r="M23" s="415">
        <f t="shared" si="10"/>
        <v>2023</v>
      </c>
      <c r="N23" s="416">
        <f t="shared" si="10"/>
        <v>2024</v>
      </c>
      <c r="O23" s="309">
        <f t="shared" si="0"/>
        <v>19</v>
      </c>
    </row>
    <row r="24" spans="1:15" ht="15.75" x14ac:dyDescent="0.25">
      <c r="A24" s="309">
        <f t="shared" si="1"/>
        <v>20</v>
      </c>
      <c r="B24" s="369"/>
      <c r="C24" s="370" t="s">
        <v>370</v>
      </c>
      <c r="D24" s="370"/>
      <c r="E24" s="370"/>
      <c r="F24" s="417" t="e">
        <f>(-'[1]Cov 2 20% Salary '!E42+-'[1]Cov 2 20% Salary '!#REF!)</f>
        <v>#REF!</v>
      </c>
      <c r="G24" s="417" t="e">
        <f>(-'[1]Cov 2 20% Salary '!F42+-'[1]Cov 2 20% Salary '!#REF!)</f>
        <v>#REF!</v>
      </c>
      <c r="H24" s="417" t="e">
        <f>(-'[1]Cov 2 20% Salary '!G42+-'[1]Cov 2 20% Salary '!#REF!)</f>
        <v>#REF!</v>
      </c>
      <c r="I24" s="417">
        <f>(-'[1]Cov 2 20% Salary '!H42+-'[1]Cov 2 20% Salary '!D43)</f>
        <v>59574.399999999994</v>
      </c>
      <c r="J24" s="417">
        <f>(-'[1]Cov 2 20% Salary '!I42+-'[1]Cov 2 20% Salary '!E43)</f>
        <v>59694.399999999994</v>
      </c>
      <c r="K24" s="417">
        <f>(-'[1]Cov 2 20% Salary '!J42+-'[1]Cov 2 20% Salary '!F43)</f>
        <v>59796.800000000003</v>
      </c>
      <c r="L24" s="417">
        <f>(-'[1]Cov 2 20% Salary '!K42+-'[1]Cov 2 20% Salary '!G43)</f>
        <v>59881.600000000006</v>
      </c>
      <c r="M24" s="417">
        <f>(-'[1]Cov 2 20% Salary '!L42+-'[1]Cov 2 20% Salary '!H43)</f>
        <v>59948.800000000003</v>
      </c>
      <c r="N24" s="418">
        <f>(-'[1]Cov 2 20% Salary '!M42+-'[1]Cov 2 20% Salary '!I43)</f>
        <v>59998.399999999994</v>
      </c>
      <c r="O24" s="309">
        <f t="shared" si="0"/>
        <v>20</v>
      </c>
    </row>
    <row r="25" spans="1:15" ht="15.75" x14ac:dyDescent="0.25">
      <c r="A25" s="309">
        <f t="shared" si="1"/>
        <v>21</v>
      </c>
      <c r="B25" s="369"/>
      <c r="C25" s="370" t="s">
        <v>362</v>
      </c>
      <c r="D25" s="370"/>
      <c r="E25" s="370"/>
      <c r="F25" s="350">
        <v>1535</v>
      </c>
      <c r="G25" s="350">
        <f>F25</f>
        <v>1535</v>
      </c>
      <c r="H25" s="350">
        <f t="shared" ref="H25:N25" si="11">G25</f>
        <v>1535</v>
      </c>
      <c r="I25" s="350">
        <f t="shared" si="11"/>
        <v>1535</v>
      </c>
      <c r="J25" s="350">
        <f t="shared" si="11"/>
        <v>1535</v>
      </c>
      <c r="K25" s="350">
        <f t="shared" si="11"/>
        <v>1535</v>
      </c>
      <c r="L25" s="350">
        <f t="shared" si="11"/>
        <v>1535</v>
      </c>
      <c r="M25" s="350">
        <f t="shared" si="11"/>
        <v>1535</v>
      </c>
      <c r="N25" s="419">
        <f t="shared" si="11"/>
        <v>1535</v>
      </c>
      <c r="O25" s="309">
        <f t="shared" si="0"/>
        <v>21</v>
      </c>
    </row>
    <row r="26" spans="1:15" ht="16.5" thickBot="1" x14ac:dyDescent="0.3">
      <c r="A26" s="309">
        <f t="shared" si="1"/>
        <v>22</v>
      </c>
      <c r="B26" s="429"/>
      <c r="C26" s="430" t="s">
        <v>367</v>
      </c>
      <c r="D26" s="430"/>
      <c r="E26" s="430"/>
      <c r="F26" s="431" t="e">
        <f>F24/F25/12</f>
        <v>#REF!</v>
      </c>
      <c r="G26" s="431" t="e">
        <f t="shared" ref="G26:N26" si="12">G24/G25/12</f>
        <v>#REF!</v>
      </c>
      <c r="H26" s="431" t="e">
        <f t="shared" si="12"/>
        <v>#REF!</v>
      </c>
      <c r="I26" s="431">
        <f t="shared" si="12"/>
        <v>3.2342236699239955</v>
      </c>
      <c r="J26" s="431">
        <f t="shared" si="12"/>
        <v>3.240738327904451</v>
      </c>
      <c r="K26" s="431">
        <f t="shared" si="12"/>
        <v>3.246297502714441</v>
      </c>
      <c r="L26" s="431">
        <f t="shared" si="12"/>
        <v>3.2509011943539634</v>
      </c>
      <c r="M26" s="431">
        <f t="shared" si="12"/>
        <v>3.2545494028230184</v>
      </c>
      <c r="N26" s="432">
        <f t="shared" si="12"/>
        <v>3.2572421281216069</v>
      </c>
      <c r="O26" s="309">
        <f t="shared" si="0"/>
        <v>22</v>
      </c>
    </row>
    <row r="27" spans="1:15" ht="16.5" thickBot="1" x14ac:dyDescent="0.3">
      <c r="A27" s="309">
        <f t="shared" si="1"/>
        <v>23</v>
      </c>
      <c r="B27" s="369"/>
      <c r="C27" s="370"/>
      <c r="D27" s="370"/>
      <c r="E27" s="370"/>
      <c r="F27" s="370"/>
      <c r="G27" s="370"/>
      <c r="H27" s="370"/>
      <c r="I27" s="370"/>
      <c r="J27" s="370"/>
      <c r="K27" s="370"/>
      <c r="L27" s="370"/>
      <c r="M27" s="370"/>
      <c r="N27" s="372"/>
      <c r="O27" s="309">
        <f t="shared" si="0"/>
        <v>23</v>
      </c>
    </row>
    <row r="28" spans="1:15" ht="15.75" x14ac:dyDescent="0.25">
      <c r="A28" s="309">
        <f t="shared" si="1"/>
        <v>24</v>
      </c>
      <c r="B28" s="433"/>
      <c r="C28" s="415" t="s">
        <v>371</v>
      </c>
      <c r="D28" s="415">
        <v>302</v>
      </c>
      <c r="E28" s="415"/>
      <c r="F28" s="415">
        <v>2016</v>
      </c>
      <c r="G28" s="415">
        <f>F28+1</f>
        <v>2017</v>
      </c>
      <c r="H28" s="415">
        <f t="shared" ref="H28:N28" si="13">G28+1</f>
        <v>2018</v>
      </c>
      <c r="I28" s="415">
        <f t="shared" si="13"/>
        <v>2019</v>
      </c>
      <c r="J28" s="415">
        <f t="shared" si="13"/>
        <v>2020</v>
      </c>
      <c r="K28" s="415">
        <f t="shared" si="13"/>
        <v>2021</v>
      </c>
      <c r="L28" s="415">
        <f t="shared" si="13"/>
        <v>2022</v>
      </c>
      <c r="M28" s="415">
        <f t="shared" si="13"/>
        <v>2023</v>
      </c>
      <c r="N28" s="416">
        <f t="shared" si="13"/>
        <v>2024</v>
      </c>
      <c r="O28" s="309">
        <f t="shared" si="0"/>
        <v>24</v>
      </c>
    </row>
    <row r="29" spans="1:15" ht="15.75" x14ac:dyDescent="0.25">
      <c r="A29" s="309">
        <f t="shared" si="1"/>
        <v>25</v>
      </c>
      <c r="B29" s="369"/>
      <c r="C29" s="370" t="s">
        <v>370</v>
      </c>
      <c r="D29" s="370"/>
      <c r="E29" s="370"/>
      <c r="F29" s="417">
        <f t="shared" ref="F29:N29" si="14">F30*12*F31</f>
        <v>46551</v>
      </c>
      <c r="G29" s="417">
        <f t="shared" si="14"/>
        <v>46551</v>
      </c>
      <c r="H29" s="417">
        <f t="shared" si="14"/>
        <v>46551</v>
      </c>
      <c r="I29" s="417">
        <f t="shared" si="14"/>
        <v>46551</v>
      </c>
      <c r="J29" s="417">
        <f t="shared" si="14"/>
        <v>46551</v>
      </c>
      <c r="K29" s="417">
        <f t="shared" si="14"/>
        <v>46551</v>
      </c>
      <c r="L29" s="417">
        <f t="shared" si="14"/>
        <v>46551</v>
      </c>
      <c r="M29" s="417">
        <f t="shared" si="14"/>
        <v>46551</v>
      </c>
      <c r="N29" s="418">
        <f t="shared" si="14"/>
        <v>46551</v>
      </c>
      <c r="O29" s="309">
        <f t="shared" si="0"/>
        <v>25</v>
      </c>
    </row>
    <row r="30" spans="1:15" ht="15.75" x14ac:dyDescent="0.25">
      <c r="A30" s="309">
        <f t="shared" si="1"/>
        <v>26</v>
      </c>
      <c r="B30" s="369"/>
      <c r="C30" s="370" t="s">
        <v>362</v>
      </c>
      <c r="D30" s="370"/>
      <c r="E30" s="370"/>
      <c r="F30" s="350">
        <v>1315</v>
      </c>
      <c r="G30" s="350">
        <f>F30</f>
        <v>1315</v>
      </c>
      <c r="H30" s="350">
        <f t="shared" ref="H30:N30" si="15">G30</f>
        <v>1315</v>
      </c>
      <c r="I30" s="350">
        <f t="shared" si="15"/>
        <v>1315</v>
      </c>
      <c r="J30" s="350">
        <f t="shared" si="15"/>
        <v>1315</v>
      </c>
      <c r="K30" s="350">
        <f t="shared" si="15"/>
        <v>1315</v>
      </c>
      <c r="L30" s="350">
        <f t="shared" si="15"/>
        <v>1315</v>
      </c>
      <c r="M30" s="350">
        <f t="shared" si="15"/>
        <v>1315</v>
      </c>
      <c r="N30" s="419">
        <f t="shared" si="15"/>
        <v>1315</v>
      </c>
      <c r="O30" s="309">
        <f t="shared" si="0"/>
        <v>26</v>
      </c>
    </row>
    <row r="31" spans="1:15" ht="16.5" thickBot="1" x14ac:dyDescent="0.3">
      <c r="A31" s="309">
        <f t="shared" si="1"/>
        <v>27</v>
      </c>
      <c r="B31" s="429"/>
      <c r="C31" s="430" t="s">
        <v>367</v>
      </c>
      <c r="D31" s="430"/>
      <c r="E31" s="430"/>
      <c r="F31" s="431">
        <v>2.95</v>
      </c>
      <c r="G31" s="431">
        <v>2.95</v>
      </c>
      <c r="H31" s="431">
        <v>2.95</v>
      </c>
      <c r="I31" s="431">
        <v>2.95</v>
      </c>
      <c r="J31" s="431">
        <v>2.95</v>
      </c>
      <c r="K31" s="431">
        <v>2.95</v>
      </c>
      <c r="L31" s="431">
        <v>2.95</v>
      </c>
      <c r="M31" s="431">
        <v>2.95</v>
      </c>
      <c r="N31" s="432">
        <v>2.95</v>
      </c>
      <c r="O31" s="309">
        <f t="shared" si="0"/>
        <v>27</v>
      </c>
    </row>
    <row r="32" spans="1:15" ht="16.5" thickBot="1" x14ac:dyDescent="0.3">
      <c r="A32" s="309">
        <f t="shared" si="1"/>
        <v>28</v>
      </c>
      <c r="B32" s="369"/>
      <c r="C32" s="370"/>
      <c r="D32" s="370"/>
      <c r="E32" s="370"/>
      <c r="F32" s="370"/>
      <c r="G32" s="370"/>
      <c r="H32" s="370"/>
      <c r="I32" s="370"/>
      <c r="J32" s="370"/>
      <c r="K32" s="370"/>
      <c r="L32" s="370"/>
      <c r="M32" s="370"/>
      <c r="N32" s="372"/>
      <c r="O32" s="309">
        <f t="shared" si="0"/>
        <v>28</v>
      </c>
    </row>
    <row r="33" spans="1:15" ht="15.75" x14ac:dyDescent="0.25">
      <c r="A33" s="309">
        <f t="shared" si="1"/>
        <v>29</v>
      </c>
      <c r="B33" s="433"/>
      <c r="C33" s="415" t="s">
        <v>372</v>
      </c>
      <c r="D33" s="415">
        <v>303</v>
      </c>
      <c r="E33" s="415"/>
      <c r="F33" s="415">
        <v>2016</v>
      </c>
      <c r="G33" s="415">
        <f>F33+1</f>
        <v>2017</v>
      </c>
      <c r="H33" s="415">
        <f t="shared" ref="H33:N33" si="16">G33+1</f>
        <v>2018</v>
      </c>
      <c r="I33" s="415">
        <f t="shared" si="16"/>
        <v>2019</v>
      </c>
      <c r="J33" s="415">
        <f t="shared" si="16"/>
        <v>2020</v>
      </c>
      <c r="K33" s="415">
        <f t="shared" si="16"/>
        <v>2021</v>
      </c>
      <c r="L33" s="415">
        <f t="shared" si="16"/>
        <v>2022</v>
      </c>
      <c r="M33" s="415">
        <f t="shared" si="16"/>
        <v>2023</v>
      </c>
      <c r="N33" s="416">
        <f t="shared" si="16"/>
        <v>2024</v>
      </c>
      <c r="O33" s="309">
        <f t="shared" si="0"/>
        <v>29</v>
      </c>
    </row>
    <row r="34" spans="1:15" ht="15.75" x14ac:dyDescent="0.25">
      <c r="A34" s="309">
        <f t="shared" si="1"/>
        <v>30</v>
      </c>
      <c r="B34" s="369"/>
      <c r="C34" s="370" t="s">
        <v>373</v>
      </c>
      <c r="D34" s="370"/>
      <c r="E34" s="370"/>
      <c r="F34" s="417">
        <f>F35*12*F36</f>
        <v>543168</v>
      </c>
      <c r="G34" s="417">
        <f t="shared" ref="G34:N34" si="17">G35*12*G36</f>
        <v>543168</v>
      </c>
      <c r="H34" s="417">
        <f t="shared" si="17"/>
        <v>543168</v>
      </c>
      <c r="I34" s="417">
        <f t="shared" si="17"/>
        <v>543168</v>
      </c>
      <c r="J34" s="417">
        <f t="shared" si="17"/>
        <v>543168</v>
      </c>
      <c r="K34" s="417">
        <f t="shared" si="17"/>
        <v>543168</v>
      </c>
      <c r="L34" s="417">
        <f t="shared" si="17"/>
        <v>543168</v>
      </c>
      <c r="M34" s="417">
        <f t="shared" si="17"/>
        <v>543168</v>
      </c>
      <c r="N34" s="418">
        <f t="shared" si="17"/>
        <v>543168</v>
      </c>
      <c r="O34" s="309">
        <f t="shared" si="0"/>
        <v>30</v>
      </c>
    </row>
    <row r="35" spans="1:15" ht="15.75" x14ac:dyDescent="0.25">
      <c r="A35" s="309">
        <f t="shared" si="1"/>
        <v>31</v>
      </c>
      <c r="B35" s="369"/>
      <c r="C35" s="370" t="s">
        <v>362</v>
      </c>
      <c r="D35" s="370"/>
      <c r="E35" s="370"/>
      <c r="F35" s="350">
        <v>1104</v>
      </c>
      <c r="G35" s="350">
        <v>1104</v>
      </c>
      <c r="H35" s="350">
        <v>1104</v>
      </c>
      <c r="I35" s="350">
        <v>1104</v>
      </c>
      <c r="J35" s="350">
        <f t="shared" ref="J35:N35" si="18">I35</f>
        <v>1104</v>
      </c>
      <c r="K35" s="350">
        <f t="shared" si="18"/>
        <v>1104</v>
      </c>
      <c r="L35" s="350">
        <f t="shared" si="18"/>
        <v>1104</v>
      </c>
      <c r="M35" s="350">
        <f t="shared" si="18"/>
        <v>1104</v>
      </c>
      <c r="N35" s="419">
        <f t="shared" si="18"/>
        <v>1104</v>
      </c>
      <c r="O35" s="309">
        <f t="shared" si="0"/>
        <v>31</v>
      </c>
    </row>
    <row r="36" spans="1:15" ht="16.5" thickBot="1" x14ac:dyDescent="0.3">
      <c r="A36" s="309">
        <f t="shared" si="1"/>
        <v>32</v>
      </c>
      <c r="B36" s="429"/>
      <c r="C36" s="430" t="s">
        <v>367</v>
      </c>
      <c r="D36" s="430"/>
      <c r="E36" s="430"/>
      <c r="F36" s="431">
        <v>41</v>
      </c>
      <c r="G36" s="431">
        <v>41</v>
      </c>
      <c r="H36" s="431">
        <v>41</v>
      </c>
      <c r="I36" s="431">
        <v>41</v>
      </c>
      <c r="J36" s="431">
        <v>41</v>
      </c>
      <c r="K36" s="431">
        <v>41</v>
      </c>
      <c r="L36" s="431">
        <v>41</v>
      </c>
      <c r="M36" s="431">
        <v>41</v>
      </c>
      <c r="N36" s="432">
        <v>41</v>
      </c>
      <c r="O36" s="309">
        <f t="shared" si="0"/>
        <v>32</v>
      </c>
    </row>
    <row r="37" spans="1:15" ht="16.5" thickBot="1" x14ac:dyDescent="0.3">
      <c r="A37" s="309">
        <f t="shared" si="1"/>
        <v>33</v>
      </c>
      <c r="B37" s="369"/>
      <c r="C37" s="370"/>
      <c r="D37" s="370"/>
      <c r="E37" s="370"/>
      <c r="F37" s="370"/>
      <c r="G37" s="370"/>
      <c r="H37" s="370"/>
      <c r="I37" s="370"/>
      <c r="J37" s="370"/>
      <c r="K37" s="370"/>
      <c r="L37" s="370"/>
      <c r="M37" s="370"/>
      <c r="N37" s="372"/>
      <c r="O37" s="309">
        <f t="shared" si="0"/>
        <v>33</v>
      </c>
    </row>
    <row r="38" spans="1:15" ht="15.75" x14ac:dyDescent="0.25">
      <c r="A38" s="309">
        <f t="shared" si="1"/>
        <v>34</v>
      </c>
      <c r="B38" s="433"/>
      <c r="C38" s="415" t="s">
        <v>374</v>
      </c>
      <c r="D38" s="415">
        <v>303</v>
      </c>
      <c r="E38" s="415"/>
      <c r="F38" s="415">
        <v>2016</v>
      </c>
      <c r="G38" s="415">
        <f>F38+1</f>
        <v>2017</v>
      </c>
      <c r="H38" s="415">
        <f t="shared" ref="H38:N38" si="19">G38+1</f>
        <v>2018</v>
      </c>
      <c r="I38" s="415">
        <f t="shared" si="19"/>
        <v>2019</v>
      </c>
      <c r="J38" s="415">
        <f t="shared" si="19"/>
        <v>2020</v>
      </c>
      <c r="K38" s="415">
        <f t="shared" si="19"/>
        <v>2021</v>
      </c>
      <c r="L38" s="415">
        <f t="shared" si="19"/>
        <v>2022</v>
      </c>
      <c r="M38" s="415">
        <f t="shared" si="19"/>
        <v>2023</v>
      </c>
      <c r="N38" s="416">
        <f t="shared" si="19"/>
        <v>2024</v>
      </c>
      <c r="O38" s="309">
        <f t="shared" si="0"/>
        <v>34</v>
      </c>
    </row>
    <row r="39" spans="1:15" ht="15.75" x14ac:dyDescent="0.25">
      <c r="A39" s="309">
        <f t="shared" si="1"/>
        <v>35</v>
      </c>
      <c r="B39" s="434"/>
      <c r="C39" s="435" t="s">
        <v>375</v>
      </c>
      <c r="D39" s="435"/>
      <c r="E39" s="435"/>
      <c r="F39" s="436">
        <f>-'[1]Cov 2 20% Salary '!E42</f>
        <v>161986</v>
      </c>
      <c r="G39" s="436">
        <f>-'[1]Cov 2 20% Salary '!F42</f>
        <v>0</v>
      </c>
      <c r="H39" s="436">
        <f>-'[1]Cov 2 20% Salary '!G42</f>
        <v>0</v>
      </c>
      <c r="I39" s="436">
        <f>-'[1]Cov 2 20% Salary '!H42</f>
        <v>0</v>
      </c>
      <c r="J39" s="436">
        <f>-'[1]Cov 2 20% Salary '!I42</f>
        <v>0</v>
      </c>
      <c r="K39" s="436">
        <f>-'[1]Cov 2 20% Salary '!J42</f>
        <v>0</v>
      </c>
      <c r="L39" s="436">
        <f>-'[1]Cov 2 20% Salary '!K42</f>
        <v>0</v>
      </c>
      <c r="M39" s="436">
        <f>-'[1]Cov 2 20% Salary '!L42</f>
        <v>0</v>
      </c>
      <c r="N39" s="437">
        <f>-'[1]Cov 2 20% Salary '!M42</f>
        <v>0</v>
      </c>
      <c r="O39" s="309">
        <f t="shared" si="0"/>
        <v>35</v>
      </c>
    </row>
    <row r="40" spans="1:15" ht="15.75" x14ac:dyDescent="0.25">
      <c r="A40" s="309">
        <f t="shared" si="1"/>
        <v>36</v>
      </c>
      <c r="B40" s="434"/>
      <c r="C40" s="435" t="s">
        <v>362</v>
      </c>
      <c r="D40" s="435"/>
      <c r="E40" s="435"/>
      <c r="F40" s="438">
        <v>1102</v>
      </c>
      <c r="G40" s="438">
        <f t="shared" ref="G40:N40" si="20">F40</f>
        <v>1102</v>
      </c>
      <c r="H40" s="438">
        <f t="shared" si="20"/>
        <v>1102</v>
      </c>
      <c r="I40" s="438">
        <f t="shared" si="20"/>
        <v>1102</v>
      </c>
      <c r="J40" s="438">
        <f t="shared" si="20"/>
        <v>1102</v>
      </c>
      <c r="K40" s="438">
        <f t="shared" si="20"/>
        <v>1102</v>
      </c>
      <c r="L40" s="438">
        <f t="shared" si="20"/>
        <v>1102</v>
      </c>
      <c r="M40" s="438">
        <f t="shared" si="20"/>
        <v>1102</v>
      </c>
      <c r="N40" s="439">
        <f t="shared" si="20"/>
        <v>1102</v>
      </c>
      <c r="O40" s="309">
        <f t="shared" si="0"/>
        <v>36</v>
      </c>
    </row>
    <row r="41" spans="1:15" ht="16.5" thickBot="1" x14ac:dyDescent="0.3">
      <c r="A41" s="309">
        <f t="shared" si="1"/>
        <v>37</v>
      </c>
      <c r="B41" s="440"/>
      <c r="C41" s="441" t="s">
        <v>367</v>
      </c>
      <c r="D41" s="441"/>
      <c r="E41" s="441"/>
      <c r="F41" s="442">
        <f t="shared" ref="F41:N41" si="21">F39/F40/12</f>
        <v>12.249395039322444</v>
      </c>
      <c r="G41" s="442">
        <f t="shared" si="21"/>
        <v>0</v>
      </c>
      <c r="H41" s="442">
        <f t="shared" si="21"/>
        <v>0</v>
      </c>
      <c r="I41" s="442">
        <f t="shared" si="21"/>
        <v>0</v>
      </c>
      <c r="J41" s="442">
        <f t="shared" si="21"/>
        <v>0</v>
      </c>
      <c r="K41" s="442">
        <f t="shared" si="21"/>
        <v>0</v>
      </c>
      <c r="L41" s="442">
        <f t="shared" si="21"/>
        <v>0</v>
      </c>
      <c r="M41" s="442">
        <f t="shared" si="21"/>
        <v>0</v>
      </c>
      <c r="N41" s="443">
        <f t="shared" si="21"/>
        <v>0</v>
      </c>
      <c r="O41" s="309">
        <f t="shared" si="0"/>
        <v>37</v>
      </c>
    </row>
    <row r="42" spans="1:15" ht="16.5" thickBot="1" x14ac:dyDescent="0.3">
      <c r="A42" s="309">
        <f t="shared" si="1"/>
        <v>38</v>
      </c>
      <c r="B42" s="369"/>
      <c r="C42" s="370"/>
      <c r="D42" s="370"/>
      <c r="E42" s="370"/>
      <c r="F42" s="370"/>
      <c r="G42" s="370"/>
      <c r="H42" s="370"/>
      <c r="I42" s="370"/>
      <c r="J42" s="370"/>
      <c r="K42" s="370"/>
      <c r="L42" s="370"/>
      <c r="M42" s="370"/>
      <c r="N42" s="372"/>
      <c r="O42" s="309">
        <f t="shared" si="0"/>
        <v>38</v>
      </c>
    </row>
    <row r="43" spans="1:15" ht="15.75" x14ac:dyDescent="0.25">
      <c r="A43" s="309">
        <f t="shared" si="1"/>
        <v>39</v>
      </c>
      <c r="B43" s="433"/>
      <c r="C43" s="415" t="s">
        <v>376</v>
      </c>
      <c r="D43" s="415">
        <v>303</v>
      </c>
      <c r="E43" s="415"/>
      <c r="F43" s="415">
        <v>2016</v>
      </c>
      <c r="G43" s="415">
        <f>F43+1</f>
        <v>2017</v>
      </c>
      <c r="H43" s="415">
        <f t="shared" ref="H43:N43" si="22">G43+1</f>
        <v>2018</v>
      </c>
      <c r="I43" s="415">
        <f t="shared" si="22"/>
        <v>2019</v>
      </c>
      <c r="J43" s="415">
        <f t="shared" si="22"/>
        <v>2020</v>
      </c>
      <c r="K43" s="415">
        <f t="shared" si="22"/>
        <v>2021</v>
      </c>
      <c r="L43" s="415">
        <f t="shared" si="22"/>
        <v>2022</v>
      </c>
      <c r="M43" s="415">
        <f t="shared" si="22"/>
        <v>2023</v>
      </c>
      <c r="N43" s="416">
        <f t="shared" si="22"/>
        <v>2024</v>
      </c>
      <c r="O43" s="309">
        <f t="shared" si="0"/>
        <v>39</v>
      </c>
    </row>
    <row r="44" spans="1:15" ht="15.75" x14ac:dyDescent="0.25">
      <c r="A44" s="309">
        <f t="shared" si="1"/>
        <v>40</v>
      </c>
      <c r="B44" s="369"/>
      <c r="C44" s="435" t="s">
        <v>375</v>
      </c>
      <c r="D44" s="435"/>
      <c r="E44" s="435"/>
      <c r="F44" s="436">
        <f>-'[1]Cov 2 20% Salary '!E47</f>
        <v>0</v>
      </c>
      <c r="G44" s="436">
        <f>-'[1]Cov 2 20% Salary '!F47</f>
        <v>0</v>
      </c>
      <c r="H44" s="436">
        <f>-'[1]Cov 2 20% Salary '!G47</f>
        <v>0</v>
      </c>
      <c r="I44" s="436">
        <f>-'[1]Cov 2 20% Salary '!H47</f>
        <v>0</v>
      </c>
      <c r="J44" s="436">
        <f>-'[1]Cov 2 20% Salary '!I47</f>
        <v>0</v>
      </c>
      <c r="K44" s="436">
        <f>-'[1]Cov 2 20% Salary '!J47</f>
        <v>0</v>
      </c>
      <c r="L44" s="436">
        <f>-'[1]Cov 2 20% Salary '!K47</f>
        <v>0</v>
      </c>
      <c r="M44" s="436">
        <f>-'[1]Cov 2 20% Salary '!L47</f>
        <v>0</v>
      </c>
      <c r="N44" s="437">
        <f>-'[1]Cov 2 20% Salary '!M47</f>
        <v>0</v>
      </c>
      <c r="O44" s="309">
        <f t="shared" si="0"/>
        <v>40</v>
      </c>
    </row>
    <row r="45" spans="1:15" ht="15.75" x14ac:dyDescent="0.25">
      <c r="A45" s="309">
        <f t="shared" si="1"/>
        <v>41</v>
      </c>
      <c r="B45" s="369"/>
      <c r="C45" s="435" t="s">
        <v>362</v>
      </c>
      <c r="D45" s="435"/>
      <c r="E45" s="435"/>
      <c r="F45" s="438">
        <v>1102</v>
      </c>
      <c r="G45" s="438">
        <f t="shared" ref="G45:N45" si="23">F45</f>
        <v>1102</v>
      </c>
      <c r="H45" s="438">
        <f t="shared" si="23"/>
        <v>1102</v>
      </c>
      <c r="I45" s="438">
        <f t="shared" si="23"/>
        <v>1102</v>
      </c>
      <c r="J45" s="438">
        <f t="shared" si="23"/>
        <v>1102</v>
      </c>
      <c r="K45" s="438">
        <f t="shared" si="23"/>
        <v>1102</v>
      </c>
      <c r="L45" s="438">
        <f t="shared" si="23"/>
        <v>1102</v>
      </c>
      <c r="M45" s="438">
        <f t="shared" si="23"/>
        <v>1102</v>
      </c>
      <c r="N45" s="439">
        <f t="shared" si="23"/>
        <v>1102</v>
      </c>
      <c r="O45" s="309">
        <f t="shared" si="0"/>
        <v>41</v>
      </c>
    </row>
    <row r="46" spans="1:15" ht="16.5" thickBot="1" x14ac:dyDescent="0.3">
      <c r="A46" s="309">
        <f t="shared" si="1"/>
        <v>42</v>
      </c>
      <c r="B46" s="429"/>
      <c r="C46" s="441" t="s">
        <v>367</v>
      </c>
      <c r="D46" s="441"/>
      <c r="E46" s="441"/>
      <c r="F46" s="442">
        <f>F44/F45/12</f>
        <v>0</v>
      </c>
      <c r="G46" s="442">
        <f t="shared" ref="G46:N46" si="24">G44/G45/12</f>
        <v>0</v>
      </c>
      <c r="H46" s="442">
        <f t="shared" si="24"/>
        <v>0</v>
      </c>
      <c r="I46" s="442">
        <f t="shared" si="24"/>
        <v>0</v>
      </c>
      <c r="J46" s="442">
        <f t="shared" si="24"/>
        <v>0</v>
      </c>
      <c r="K46" s="442">
        <f t="shared" si="24"/>
        <v>0</v>
      </c>
      <c r="L46" s="442">
        <f t="shared" si="24"/>
        <v>0</v>
      </c>
      <c r="M46" s="442">
        <f t="shared" si="24"/>
        <v>0</v>
      </c>
      <c r="N46" s="443">
        <f t="shared" si="24"/>
        <v>0</v>
      </c>
      <c r="O46" s="309">
        <f t="shared" si="0"/>
        <v>42</v>
      </c>
    </row>
    <row r="47" spans="1:15" ht="16.5" thickBot="1" x14ac:dyDescent="0.3">
      <c r="A47" s="309">
        <f t="shared" si="1"/>
        <v>43</v>
      </c>
      <c r="B47" s="369"/>
      <c r="C47" s="370"/>
      <c r="D47" s="370"/>
      <c r="E47" s="370"/>
      <c r="F47" s="370"/>
      <c r="G47" s="370"/>
      <c r="H47" s="370"/>
      <c r="I47" s="370"/>
      <c r="J47" s="370"/>
      <c r="K47" s="370"/>
      <c r="L47" s="370"/>
      <c r="M47" s="370"/>
      <c r="N47" s="372"/>
      <c r="O47" s="309">
        <f t="shared" si="0"/>
        <v>43</v>
      </c>
    </row>
    <row r="48" spans="1:15" ht="15.75" x14ac:dyDescent="0.25">
      <c r="A48" s="309">
        <f t="shared" si="1"/>
        <v>44</v>
      </c>
      <c r="B48" s="433"/>
      <c r="C48" s="415"/>
      <c r="D48" s="415"/>
      <c r="E48" s="415"/>
      <c r="F48" s="415">
        <v>2016</v>
      </c>
      <c r="G48" s="415">
        <f>F48+1</f>
        <v>2017</v>
      </c>
      <c r="H48" s="415">
        <f t="shared" ref="H48:N48" si="25">G48+1</f>
        <v>2018</v>
      </c>
      <c r="I48" s="415">
        <f t="shared" si="25"/>
        <v>2019</v>
      </c>
      <c r="J48" s="415">
        <f t="shared" si="25"/>
        <v>2020</v>
      </c>
      <c r="K48" s="415">
        <f t="shared" si="25"/>
        <v>2021</v>
      </c>
      <c r="L48" s="415">
        <f t="shared" si="25"/>
        <v>2022</v>
      </c>
      <c r="M48" s="415">
        <f t="shared" si="25"/>
        <v>2023</v>
      </c>
      <c r="N48" s="416">
        <f t="shared" si="25"/>
        <v>2024</v>
      </c>
      <c r="O48" s="309">
        <f t="shared" si="0"/>
        <v>44</v>
      </c>
    </row>
    <row r="49" spans="1:15" ht="15.75" x14ac:dyDescent="0.25">
      <c r="A49" s="309">
        <f t="shared" si="1"/>
        <v>45</v>
      </c>
      <c r="B49" s="369"/>
      <c r="C49" s="370" t="s">
        <v>377</v>
      </c>
      <c r="D49" s="370"/>
      <c r="E49" s="370"/>
      <c r="F49" s="444" t="e">
        <f>F34+F29+F24+F19+F9+F39+F44</f>
        <v>#REF!</v>
      </c>
      <c r="G49" s="444" t="e">
        <f t="shared" ref="G49:N49" si="26">G34+G29+G24+G19+G9+G39+G44</f>
        <v>#REF!</v>
      </c>
      <c r="H49" s="444" t="e">
        <f t="shared" si="26"/>
        <v>#REF!</v>
      </c>
      <c r="I49" s="444">
        <f t="shared" si="26"/>
        <v>1253977.789627</v>
      </c>
      <c r="J49" s="444">
        <f t="shared" si="26"/>
        <v>1269214.899367675</v>
      </c>
      <c r="K49" s="444">
        <f t="shared" si="26"/>
        <v>1285223.8</v>
      </c>
      <c r="L49" s="444">
        <f t="shared" si="26"/>
        <v>1414284.42</v>
      </c>
      <c r="M49" s="444">
        <f t="shared" si="26"/>
        <v>1433468.7155000002</v>
      </c>
      <c r="N49" s="445">
        <f t="shared" si="26"/>
        <v>1453113.3383874998</v>
      </c>
      <c r="O49" s="309">
        <f t="shared" si="0"/>
        <v>45</v>
      </c>
    </row>
    <row r="50" spans="1:15" ht="15.75" x14ac:dyDescent="0.25">
      <c r="A50" s="309">
        <f t="shared" si="1"/>
        <v>46</v>
      </c>
      <c r="B50" s="369"/>
      <c r="C50" s="370" t="s">
        <v>378</v>
      </c>
      <c r="D50" s="370"/>
      <c r="E50" s="370"/>
      <c r="F50" s="446" t="e">
        <f>F36+F31+F26+F21+F16+F41+F46</f>
        <v>#REF!</v>
      </c>
      <c r="G50" s="446" t="e">
        <f t="shared" ref="G50:N50" si="27">G36+G31+G26+G21+G16+G41+G46</f>
        <v>#REF!</v>
      </c>
      <c r="H50" s="446" t="e">
        <f t="shared" si="27"/>
        <v>#REF!</v>
      </c>
      <c r="I50" s="446">
        <f t="shared" si="27"/>
        <v>88.962122066354922</v>
      </c>
      <c r="J50" s="446">
        <f t="shared" si="27"/>
        <v>90.013084184246154</v>
      </c>
      <c r="K50" s="446">
        <f t="shared" si="27"/>
        <v>86.369092867806742</v>
      </c>
      <c r="L50" s="446">
        <f t="shared" si="27"/>
        <v>97.055105252442999</v>
      </c>
      <c r="M50" s="446">
        <f t="shared" si="27"/>
        <v>98.305108562364268</v>
      </c>
      <c r="N50" s="447">
        <f t="shared" si="27"/>
        <v>99.585315266651392</v>
      </c>
      <c r="O50" s="309">
        <f t="shared" si="0"/>
        <v>46</v>
      </c>
    </row>
    <row r="51" spans="1:15" ht="16.5" thickBot="1" x14ac:dyDescent="0.3">
      <c r="A51" s="309">
        <f t="shared" si="1"/>
        <v>47</v>
      </c>
      <c r="B51" s="448"/>
      <c r="C51" s="427" t="s">
        <v>379</v>
      </c>
      <c r="D51" s="427"/>
      <c r="E51" s="427"/>
      <c r="F51" s="449" t="e">
        <f>F36+F31+F41+F46+F26+F21</f>
        <v>#REF!</v>
      </c>
      <c r="G51" s="449" t="e">
        <f t="shared" ref="G51:N51" si="28">G36+G31+G41+G46+G26+G21</f>
        <v>#REF!</v>
      </c>
      <c r="H51" s="449" t="e">
        <f t="shared" si="28"/>
        <v>#REF!</v>
      </c>
      <c r="I51" s="449">
        <f t="shared" si="28"/>
        <v>70.270002017005964</v>
      </c>
      <c r="J51" s="449">
        <f t="shared" si="28"/>
        <v>70.853661133663479</v>
      </c>
      <c r="K51" s="449">
        <f t="shared" si="28"/>
        <v>76.634978284473405</v>
      </c>
      <c r="L51" s="449">
        <f t="shared" si="28"/>
        <v>79.636667752443003</v>
      </c>
      <c r="M51" s="449">
        <f t="shared" si="28"/>
        <v>80.451210124864275</v>
      </c>
      <c r="N51" s="450">
        <f t="shared" si="28"/>
        <v>81.285069368213897</v>
      </c>
      <c r="O51" s="309">
        <f t="shared" si="0"/>
        <v>47</v>
      </c>
    </row>
    <row r="52" spans="1:15" ht="15.75" x14ac:dyDescent="0.25">
      <c r="A52" s="309">
        <f t="shared" si="1"/>
        <v>48</v>
      </c>
      <c r="B52" s="369"/>
      <c r="C52" s="370"/>
      <c r="D52" s="370"/>
      <c r="E52" s="370"/>
      <c r="F52" s="370"/>
      <c r="G52" s="370"/>
      <c r="H52" s="370"/>
      <c r="I52" s="370"/>
      <c r="J52" s="370"/>
      <c r="K52" s="370"/>
      <c r="L52" s="370"/>
      <c r="M52" s="370"/>
      <c r="N52" s="372"/>
      <c r="O52" s="309">
        <f t="shared" si="0"/>
        <v>48</v>
      </c>
    </row>
    <row r="53" spans="1:15" ht="16.5" thickBot="1" x14ac:dyDescent="0.3">
      <c r="A53" s="309">
        <f t="shared" si="1"/>
        <v>49</v>
      </c>
      <c r="B53" s="429"/>
      <c r="C53" s="451"/>
      <c r="D53" s="451"/>
      <c r="E53" s="451"/>
      <c r="F53" s="451"/>
      <c r="G53" s="451"/>
      <c r="H53" s="451"/>
      <c r="I53" s="451"/>
      <c r="J53" s="451"/>
      <c r="K53" s="451"/>
      <c r="L53" s="451"/>
      <c r="M53" s="451"/>
      <c r="N53" s="452"/>
      <c r="O53" s="309">
        <f t="shared" si="0"/>
        <v>49</v>
      </c>
    </row>
    <row r="54" spans="1:15" ht="15.75" x14ac:dyDescent="0.25">
      <c r="A54" s="309"/>
      <c r="B54" s="309" t="str">
        <f t="shared" ref="B54:N54" si="29">B4</f>
        <v>A</v>
      </c>
      <c r="C54" s="309" t="str">
        <f t="shared" si="29"/>
        <v>B</v>
      </c>
      <c r="D54" s="309" t="str">
        <f t="shared" si="29"/>
        <v>C</v>
      </c>
      <c r="E54" s="309" t="str">
        <f t="shared" si="29"/>
        <v>D</v>
      </c>
      <c r="F54" s="309" t="str">
        <f t="shared" si="29"/>
        <v>E</v>
      </c>
      <c r="G54" s="309" t="str">
        <f t="shared" si="29"/>
        <v xml:space="preserve"> F </v>
      </c>
      <c r="H54" s="309" t="str">
        <f t="shared" si="29"/>
        <v>G</v>
      </c>
      <c r="I54" s="309" t="str">
        <f t="shared" si="29"/>
        <v>H</v>
      </c>
      <c r="J54" s="309" t="str">
        <f t="shared" si="29"/>
        <v>I</v>
      </c>
      <c r="K54" s="309" t="str">
        <f t="shared" si="29"/>
        <v>J</v>
      </c>
      <c r="L54" s="309" t="str">
        <f t="shared" si="29"/>
        <v>K</v>
      </c>
      <c r="M54" s="309" t="str">
        <f t="shared" si="29"/>
        <v>L</v>
      </c>
      <c r="N54" s="309" t="str">
        <f t="shared" si="29"/>
        <v>M</v>
      </c>
      <c r="O54" s="309"/>
    </row>
  </sheetData>
  <mergeCells count="1">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65A8-B55F-45B4-B9C1-22238171092D}">
  <dimension ref="A1:G22"/>
  <sheetViews>
    <sheetView workbookViewId="0">
      <selection sqref="A1:H22"/>
    </sheetView>
  </sheetViews>
  <sheetFormatPr defaultRowHeight="15" x14ac:dyDescent="0.25"/>
  <sheetData>
    <row r="1" spans="1:6" ht="18.75" x14ac:dyDescent="0.3">
      <c r="A1" s="225" t="s">
        <v>245</v>
      </c>
    </row>
    <row r="2" spans="1:6" ht="47.25" x14ac:dyDescent="0.25">
      <c r="A2" s="215" t="s">
        <v>238</v>
      </c>
      <c r="B2" s="200" t="s">
        <v>239</v>
      </c>
      <c r="C2" s="200" t="s">
        <v>240</v>
      </c>
      <c r="D2" s="212" t="s">
        <v>241</v>
      </c>
      <c r="E2" s="212" t="s">
        <v>242</v>
      </c>
      <c r="F2" s="200" t="s">
        <v>243</v>
      </c>
    </row>
    <row r="3" spans="1:6" ht="15.75" x14ac:dyDescent="0.25">
      <c r="A3" s="224">
        <v>1</v>
      </c>
      <c r="B3" s="200">
        <v>1</v>
      </c>
      <c r="C3" s="200">
        <v>1000</v>
      </c>
      <c r="D3" s="212">
        <v>1000</v>
      </c>
      <c r="E3" s="212">
        <v>0.5</v>
      </c>
      <c r="F3" s="200">
        <v>3084.7599999999998</v>
      </c>
    </row>
    <row r="4" spans="1:6" ht="15.75" x14ac:dyDescent="0.25">
      <c r="A4" s="224">
        <v>2</v>
      </c>
      <c r="B4" s="200">
        <v>1001</v>
      </c>
      <c r="C4" s="200">
        <v>2000</v>
      </c>
      <c r="D4" s="212">
        <v>1000</v>
      </c>
      <c r="E4" s="212">
        <v>1</v>
      </c>
      <c r="F4" s="200">
        <v>3439.6999999999994</v>
      </c>
    </row>
    <row r="5" spans="1:6" ht="15.75" x14ac:dyDescent="0.25">
      <c r="A5" s="224">
        <v>3</v>
      </c>
      <c r="B5" s="200">
        <v>2001</v>
      </c>
      <c r="C5" s="200">
        <v>3000</v>
      </c>
      <c r="D5" s="212">
        <v>1000</v>
      </c>
      <c r="E5" s="212">
        <v>1.5</v>
      </c>
      <c r="F5" s="200">
        <v>3365.7599999999998</v>
      </c>
    </row>
    <row r="6" spans="1:6" ht="15.75" x14ac:dyDescent="0.25">
      <c r="A6" s="224">
        <v>4</v>
      </c>
      <c r="B6" s="200">
        <v>3001</v>
      </c>
      <c r="C6" s="200">
        <v>4000</v>
      </c>
      <c r="D6" s="212">
        <v>1000</v>
      </c>
      <c r="E6" s="212">
        <v>2</v>
      </c>
      <c r="F6" s="200">
        <v>2879.2899999999995</v>
      </c>
    </row>
    <row r="7" spans="1:6" ht="15.75" x14ac:dyDescent="0.25">
      <c r="A7" s="224">
        <v>5</v>
      </c>
      <c r="B7" s="200">
        <v>4001</v>
      </c>
      <c r="C7" s="200">
        <v>5000</v>
      </c>
      <c r="D7" s="212">
        <v>1000</v>
      </c>
      <c r="E7" s="212">
        <v>12.5</v>
      </c>
      <c r="F7" s="200">
        <v>11321.830000000002</v>
      </c>
    </row>
    <row r="8" spans="1:6" ht="15.75" x14ac:dyDescent="0.25">
      <c r="A8" s="224">
        <v>6</v>
      </c>
      <c r="B8" s="200">
        <v>5001</v>
      </c>
      <c r="C8" s="200">
        <v>6000</v>
      </c>
      <c r="D8" s="212">
        <v>1000</v>
      </c>
      <c r="E8" s="212">
        <v>16</v>
      </c>
      <c r="F8" s="200">
        <v>9478.36</v>
      </c>
    </row>
    <row r="9" spans="1:6" ht="15.75" x14ac:dyDescent="0.25">
      <c r="A9" s="224">
        <v>7</v>
      </c>
      <c r="B9" s="200">
        <v>6001</v>
      </c>
      <c r="C9" s="200">
        <v>7000</v>
      </c>
      <c r="D9" s="212">
        <v>1000</v>
      </c>
      <c r="E9" s="212">
        <v>16.5</v>
      </c>
      <c r="F9" s="200">
        <v>6601.7499999999991</v>
      </c>
    </row>
    <row r="10" spans="1:6" ht="15.75" x14ac:dyDescent="0.25">
      <c r="A10" s="224">
        <v>8</v>
      </c>
      <c r="B10" s="200">
        <v>7001</v>
      </c>
      <c r="C10" s="200">
        <v>8000</v>
      </c>
      <c r="D10" s="212">
        <v>1000</v>
      </c>
      <c r="E10" s="212">
        <v>20.5</v>
      </c>
      <c r="F10" s="200">
        <v>5745.3099999999995</v>
      </c>
    </row>
    <row r="11" spans="1:6" ht="15.75" x14ac:dyDescent="0.25">
      <c r="A11" s="224">
        <v>9</v>
      </c>
      <c r="B11" s="200">
        <v>8001</v>
      </c>
      <c r="C11" s="200">
        <v>9000</v>
      </c>
      <c r="D11" s="212">
        <v>1000</v>
      </c>
      <c r="E11" s="212">
        <v>24.5</v>
      </c>
      <c r="F11" s="200">
        <v>5177.0700000000006</v>
      </c>
    </row>
    <row r="12" spans="1:6" ht="15.75" x14ac:dyDescent="0.25">
      <c r="A12" s="224">
        <v>10</v>
      </c>
      <c r="B12" s="200">
        <v>9001</v>
      </c>
      <c r="C12" s="200">
        <v>10000</v>
      </c>
      <c r="D12" s="212">
        <v>1000</v>
      </c>
      <c r="E12" s="212">
        <v>26.5</v>
      </c>
      <c r="F12" s="200">
        <v>4207.8499999999995</v>
      </c>
    </row>
    <row r="13" spans="1:6" ht="15.75" x14ac:dyDescent="0.25">
      <c r="A13" s="224">
        <v>11</v>
      </c>
      <c r="B13" s="200">
        <v>10001</v>
      </c>
      <c r="C13" s="200">
        <v>11000</v>
      </c>
      <c r="D13" s="212">
        <v>1000</v>
      </c>
      <c r="E13" s="212">
        <v>27</v>
      </c>
      <c r="F13" s="200">
        <v>3508.93</v>
      </c>
    </row>
    <row r="14" spans="1:6" ht="15.75" x14ac:dyDescent="0.25">
      <c r="A14" s="224">
        <v>12</v>
      </c>
      <c r="B14" s="200">
        <v>11001</v>
      </c>
      <c r="C14" s="200">
        <v>12000</v>
      </c>
      <c r="D14" s="212">
        <v>1000</v>
      </c>
      <c r="E14" s="212">
        <v>27.5</v>
      </c>
      <c r="F14" s="200">
        <v>3042.4199999999996</v>
      </c>
    </row>
    <row r="15" spans="1:6" ht="15.75" x14ac:dyDescent="0.25">
      <c r="A15" s="224">
        <v>13</v>
      </c>
      <c r="B15" s="200">
        <v>12001</v>
      </c>
      <c r="C15" s="200">
        <v>13000</v>
      </c>
      <c r="D15" s="212">
        <v>1000</v>
      </c>
      <c r="E15" s="212">
        <v>28</v>
      </c>
      <c r="F15" s="200">
        <v>2645.42</v>
      </c>
    </row>
    <row r="16" spans="1:6" ht="15.75" x14ac:dyDescent="0.25">
      <c r="A16" s="224">
        <v>14</v>
      </c>
      <c r="B16" s="200">
        <v>13001</v>
      </c>
      <c r="C16" s="200">
        <v>14000</v>
      </c>
      <c r="D16" s="212">
        <v>1000</v>
      </c>
      <c r="E16" s="212">
        <v>28.5</v>
      </c>
      <c r="F16" s="200">
        <v>2409.7200000000003</v>
      </c>
    </row>
    <row r="17" spans="1:7" ht="15.75" x14ac:dyDescent="0.25">
      <c r="A17" s="224">
        <v>15</v>
      </c>
      <c r="B17" s="200">
        <v>14001</v>
      </c>
      <c r="C17" s="200">
        <v>15000</v>
      </c>
      <c r="D17" s="212">
        <v>1000</v>
      </c>
      <c r="E17" s="212">
        <v>29</v>
      </c>
      <c r="F17" s="200">
        <v>2238.67</v>
      </c>
    </row>
    <row r="18" spans="1:7" ht="15.75" x14ac:dyDescent="0.25">
      <c r="A18" s="224">
        <v>16</v>
      </c>
      <c r="B18" s="200">
        <v>15001</v>
      </c>
      <c r="C18" s="200">
        <v>16000</v>
      </c>
      <c r="D18" s="212">
        <v>1000</v>
      </c>
      <c r="E18" s="212">
        <v>29.5</v>
      </c>
      <c r="F18" s="200">
        <v>2022.9199999999998</v>
      </c>
    </row>
    <row r="19" spans="1:7" ht="15.75" x14ac:dyDescent="0.25">
      <c r="A19" s="224">
        <v>17</v>
      </c>
      <c r="B19" s="200">
        <v>16001</v>
      </c>
      <c r="C19" s="200">
        <v>17000</v>
      </c>
      <c r="D19" s="212">
        <v>1000</v>
      </c>
      <c r="E19" s="212">
        <v>30</v>
      </c>
      <c r="F19" s="200">
        <v>1802.5500000000002</v>
      </c>
    </row>
    <row r="20" spans="1:7" ht="15.75" x14ac:dyDescent="0.25">
      <c r="A20" s="224">
        <v>18</v>
      </c>
      <c r="B20" s="200">
        <v>17001</v>
      </c>
      <c r="C20" s="200">
        <v>18000</v>
      </c>
      <c r="D20" s="212">
        <v>1000</v>
      </c>
      <c r="E20" s="212">
        <v>30.5</v>
      </c>
      <c r="F20" s="200">
        <v>1701.79</v>
      </c>
    </row>
    <row r="21" spans="1:7" ht="15.75" x14ac:dyDescent="0.25">
      <c r="A21" s="224">
        <v>19</v>
      </c>
      <c r="B21" s="200">
        <v>18001</v>
      </c>
      <c r="C21" s="200">
        <v>19000</v>
      </c>
      <c r="D21" s="212">
        <v>1000</v>
      </c>
      <c r="E21" s="212">
        <v>31.5</v>
      </c>
      <c r="F21" s="200">
        <v>1686.1499999999999</v>
      </c>
      <c r="G21" s="84" t="s">
        <v>244</v>
      </c>
    </row>
    <row r="22" spans="1:7" ht="15.75" x14ac:dyDescent="0.25">
      <c r="A22" s="215"/>
      <c r="B22" s="200"/>
      <c r="C22" s="200"/>
      <c r="D22" s="212"/>
      <c r="E22" s="212"/>
      <c r="F22" s="200">
        <f>SUM(F3:F21)</f>
        <v>76360.249999999971</v>
      </c>
      <c r="G22" s="226">
        <f>F22-50000</f>
        <v>26360.249999999971</v>
      </c>
    </row>
  </sheetData>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7DEB-78B5-42C7-BE93-03CC50D24867}">
  <dimension ref="A1:G22"/>
  <sheetViews>
    <sheetView workbookViewId="0">
      <selection activeCell="I27" sqref="I26:K27"/>
    </sheetView>
  </sheetViews>
  <sheetFormatPr defaultRowHeight="15" x14ac:dyDescent="0.25"/>
  <cols>
    <col min="1" max="1" width="13" bestFit="1" customWidth="1"/>
    <col min="2" max="3" width="9" bestFit="1" customWidth="1"/>
    <col min="4" max="4" width="8.140625" bestFit="1" customWidth="1"/>
    <col min="5" max="5" width="5.42578125" bestFit="1" customWidth="1"/>
    <col min="6" max="6" width="11.42578125" customWidth="1"/>
    <col min="7" max="7" width="14.28515625" customWidth="1"/>
  </cols>
  <sheetData>
    <row r="1" spans="1:6" ht="18.75" x14ac:dyDescent="0.3">
      <c r="A1" s="225" t="s">
        <v>245</v>
      </c>
    </row>
    <row r="2" spans="1:6" ht="31.5" x14ac:dyDescent="0.25">
      <c r="A2" s="215" t="s">
        <v>238</v>
      </c>
      <c r="B2" s="200" t="s">
        <v>239</v>
      </c>
      <c r="C2" s="200" t="s">
        <v>240</v>
      </c>
      <c r="D2" s="212" t="s">
        <v>241</v>
      </c>
      <c r="E2" s="212" t="s">
        <v>242</v>
      </c>
      <c r="F2" s="200" t="s">
        <v>243</v>
      </c>
    </row>
    <row r="3" spans="1:6" ht="15.75" x14ac:dyDescent="0.25">
      <c r="A3" s="224">
        <v>1</v>
      </c>
      <c r="B3" s="200">
        <v>1</v>
      </c>
      <c r="C3" s="200">
        <v>1000</v>
      </c>
      <c r="D3" s="212">
        <v>1000</v>
      </c>
      <c r="E3" s="212">
        <v>0.5</v>
      </c>
      <c r="F3" s="200">
        <v>3084.7599999999998</v>
      </c>
    </row>
    <row r="4" spans="1:6" ht="15.75" x14ac:dyDescent="0.25">
      <c r="A4" s="224">
        <v>2</v>
      </c>
      <c r="B4" s="200">
        <v>1001</v>
      </c>
      <c r="C4" s="200">
        <v>2000</v>
      </c>
      <c r="D4" s="212">
        <v>1000</v>
      </c>
      <c r="E4" s="212">
        <v>1</v>
      </c>
      <c r="F4" s="200">
        <v>3439.6999999999994</v>
      </c>
    </row>
    <row r="5" spans="1:6" ht="15.75" x14ac:dyDescent="0.25">
      <c r="A5" s="224">
        <v>3</v>
      </c>
      <c r="B5" s="200">
        <v>2001</v>
      </c>
      <c r="C5" s="200">
        <v>3000</v>
      </c>
      <c r="D5" s="212">
        <v>1000</v>
      </c>
      <c r="E5" s="212">
        <v>1.5</v>
      </c>
      <c r="F5" s="200">
        <v>3365.7599999999998</v>
      </c>
    </row>
    <row r="6" spans="1:6" ht="15.75" x14ac:dyDescent="0.25">
      <c r="A6" s="224">
        <v>4</v>
      </c>
      <c r="B6" s="200">
        <v>3001</v>
      </c>
      <c r="C6" s="200">
        <v>4000</v>
      </c>
      <c r="D6" s="212">
        <v>1000</v>
      </c>
      <c r="E6" s="212">
        <v>2</v>
      </c>
      <c r="F6" s="200">
        <v>2879.2899999999995</v>
      </c>
    </row>
    <row r="7" spans="1:6" ht="15.75" x14ac:dyDescent="0.25">
      <c r="A7" s="224">
        <v>5</v>
      </c>
      <c r="B7" s="200">
        <v>4001</v>
      </c>
      <c r="C7" s="200">
        <v>5000</v>
      </c>
      <c r="D7" s="212">
        <v>1000</v>
      </c>
      <c r="E7" s="212">
        <v>12.5</v>
      </c>
      <c r="F7" s="200">
        <v>11321.830000000002</v>
      </c>
    </row>
    <row r="8" spans="1:6" ht="15.75" x14ac:dyDescent="0.25">
      <c r="A8" s="224">
        <v>6</v>
      </c>
      <c r="B8" s="200">
        <v>5001</v>
      </c>
      <c r="C8" s="200">
        <v>6000</v>
      </c>
      <c r="D8" s="212">
        <v>1000</v>
      </c>
      <c r="E8" s="212">
        <v>16</v>
      </c>
      <c r="F8" s="200">
        <v>9478.36</v>
      </c>
    </row>
    <row r="9" spans="1:6" ht="15.75" x14ac:dyDescent="0.25">
      <c r="A9" s="224">
        <v>7</v>
      </c>
      <c r="B9" s="200">
        <v>6001</v>
      </c>
      <c r="C9" s="200">
        <v>7000</v>
      </c>
      <c r="D9" s="212">
        <v>1000</v>
      </c>
      <c r="E9" s="212">
        <v>16.5</v>
      </c>
      <c r="F9" s="200">
        <v>6601.7499999999991</v>
      </c>
    </row>
    <row r="10" spans="1:6" ht="15.75" x14ac:dyDescent="0.25">
      <c r="A10" s="224">
        <v>8</v>
      </c>
      <c r="B10" s="200">
        <v>7001</v>
      </c>
      <c r="C10" s="200">
        <v>8000</v>
      </c>
      <c r="D10" s="212">
        <v>1000</v>
      </c>
      <c r="E10" s="212">
        <v>20.5</v>
      </c>
      <c r="F10" s="200">
        <v>5745.3099999999995</v>
      </c>
    </row>
    <row r="11" spans="1:6" ht="15.75" x14ac:dyDescent="0.25">
      <c r="A11" s="224">
        <v>9</v>
      </c>
      <c r="B11" s="200">
        <v>8001</v>
      </c>
      <c r="C11" s="200">
        <v>9000</v>
      </c>
      <c r="D11" s="212">
        <v>1000</v>
      </c>
      <c r="E11" s="212">
        <v>24.5</v>
      </c>
      <c r="F11" s="200">
        <v>5177.0700000000006</v>
      </c>
    </row>
    <row r="12" spans="1:6" ht="15.75" x14ac:dyDescent="0.25">
      <c r="A12" s="224">
        <v>10</v>
      </c>
      <c r="B12" s="200">
        <v>9001</v>
      </c>
      <c r="C12" s="200">
        <v>10000</v>
      </c>
      <c r="D12" s="212">
        <v>1000</v>
      </c>
      <c r="E12" s="212">
        <v>26.5</v>
      </c>
      <c r="F12" s="200">
        <v>4207.8499999999995</v>
      </c>
    </row>
    <row r="13" spans="1:6" ht="15.75" x14ac:dyDescent="0.25">
      <c r="A13" s="224">
        <v>11</v>
      </c>
      <c r="B13" s="200">
        <v>10001</v>
      </c>
      <c r="C13" s="200">
        <v>11000</v>
      </c>
      <c r="D13" s="212">
        <v>1000</v>
      </c>
      <c r="E13" s="212">
        <v>27</v>
      </c>
      <c r="F13" s="200">
        <v>3508.93</v>
      </c>
    </row>
    <row r="14" spans="1:6" ht="15.75" x14ac:dyDescent="0.25">
      <c r="A14" s="224">
        <v>12</v>
      </c>
      <c r="B14" s="200">
        <v>11001</v>
      </c>
      <c r="C14" s="200">
        <v>12000</v>
      </c>
      <c r="D14" s="212">
        <v>1000</v>
      </c>
      <c r="E14" s="212">
        <v>27.5</v>
      </c>
      <c r="F14" s="200">
        <v>3042.4199999999996</v>
      </c>
    </row>
    <row r="15" spans="1:6" ht="15.75" x14ac:dyDescent="0.25">
      <c r="A15" s="224">
        <v>13</v>
      </c>
      <c r="B15" s="200">
        <v>12001</v>
      </c>
      <c r="C15" s="200">
        <v>13000</v>
      </c>
      <c r="D15" s="212">
        <v>1000</v>
      </c>
      <c r="E15" s="212">
        <v>28</v>
      </c>
      <c r="F15" s="200">
        <v>2645.42</v>
      </c>
    </row>
    <row r="16" spans="1:6" ht="15.75" x14ac:dyDescent="0.25">
      <c r="A16" s="224">
        <v>14</v>
      </c>
      <c r="B16" s="200">
        <v>13001</v>
      </c>
      <c r="C16" s="200">
        <v>14000</v>
      </c>
      <c r="D16" s="212">
        <v>1000</v>
      </c>
      <c r="E16" s="212">
        <v>28.5</v>
      </c>
      <c r="F16" s="200">
        <v>2409.7200000000003</v>
      </c>
    </row>
    <row r="17" spans="1:7" ht="15.75" x14ac:dyDescent="0.25">
      <c r="A17" s="224">
        <v>15</v>
      </c>
      <c r="B17" s="200">
        <v>14001</v>
      </c>
      <c r="C17" s="200">
        <v>15000</v>
      </c>
      <c r="D17" s="212">
        <v>1000</v>
      </c>
      <c r="E17" s="212">
        <v>29</v>
      </c>
      <c r="F17" s="200">
        <v>2238.67</v>
      </c>
    </row>
    <row r="18" spans="1:7" ht="15.75" x14ac:dyDescent="0.25">
      <c r="A18" s="224">
        <v>16</v>
      </c>
      <c r="B18" s="200">
        <v>15001</v>
      </c>
      <c r="C18" s="200">
        <v>16000</v>
      </c>
      <c r="D18" s="212">
        <v>1000</v>
      </c>
      <c r="E18" s="212">
        <v>29.5</v>
      </c>
      <c r="F18" s="200">
        <v>2022.9199999999998</v>
      </c>
    </row>
    <row r="19" spans="1:7" ht="15.75" x14ac:dyDescent="0.25">
      <c r="A19" s="224">
        <v>17</v>
      </c>
      <c r="B19" s="200">
        <v>16001</v>
      </c>
      <c r="C19" s="200">
        <v>17000</v>
      </c>
      <c r="D19" s="212">
        <v>1000</v>
      </c>
      <c r="E19" s="212">
        <v>30</v>
      </c>
      <c r="F19" s="200">
        <v>1802.5500000000002</v>
      </c>
    </row>
    <row r="20" spans="1:7" ht="15.75" x14ac:dyDescent="0.25">
      <c r="A20" s="224">
        <v>18</v>
      </c>
      <c r="B20" s="200">
        <v>17001</v>
      </c>
      <c r="C20" s="200">
        <v>18000</v>
      </c>
      <c r="D20" s="212">
        <v>1000</v>
      </c>
      <c r="E20" s="212">
        <v>30.5</v>
      </c>
      <c r="F20" s="200">
        <v>1701.79</v>
      </c>
    </row>
    <row r="21" spans="1:7" ht="15.75" x14ac:dyDescent="0.25">
      <c r="A21" s="224">
        <v>19</v>
      </c>
      <c r="B21" s="200">
        <v>18001</v>
      </c>
      <c r="C21" s="200">
        <v>19000</v>
      </c>
      <c r="D21" s="212">
        <v>1000</v>
      </c>
      <c r="E21" s="212">
        <v>31.5</v>
      </c>
      <c r="F21" s="200">
        <v>1686.1499999999999</v>
      </c>
      <c r="G21" s="84" t="s">
        <v>244</v>
      </c>
    </row>
    <row r="22" spans="1:7" ht="15.75" x14ac:dyDescent="0.25">
      <c r="A22" s="215"/>
      <c r="B22" s="200"/>
      <c r="C22" s="200"/>
      <c r="D22" s="212"/>
      <c r="E22" s="212"/>
      <c r="F22" s="200">
        <f>SUM(F3:F21)</f>
        <v>76360.249999999971</v>
      </c>
      <c r="G22" s="226">
        <f>F22-50000</f>
        <v>26360.249999999971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BF08-0E14-46FF-8047-60C4C844414A}">
  <dimension ref="A1:N48"/>
  <sheetViews>
    <sheetView zoomScale="130" zoomScaleNormal="130" workbookViewId="0">
      <selection activeCell="H23" sqref="H23"/>
    </sheetView>
  </sheetViews>
  <sheetFormatPr defaultRowHeight="15" x14ac:dyDescent="0.25"/>
  <cols>
    <col min="1" max="1" width="8.7109375" bestFit="1" customWidth="1"/>
    <col min="2" max="2" width="8.85546875" bestFit="1" customWidth="1"/>
    <col min="3" max="3" width="17.7109375" bestFit="1" customWidth="1"/>
    <col min="4" max="4" width="19.42578125" bestFit="1" customWidth="1"/>
    <col min="5" max="5" width="14.42578125" customWidth="1"/>
    <col min="6" max="6" width="13.28515625" bestFit="1" customWidth="1"/>
    <col min="7" max="7" width="12.28515625" customWidth="1"/>
    <col min="8" max="8" width="17.85546875" bestFit="1" customWidth="1"/>
    <col min="9" max="9" width="12.28515625" bestFit="1" customWidth="1"/>
    <col min="10" max="10" width="15.42578125" bestFit="1" customWidth="1"/>
    <col min="11" max="11" width="13.28515625" bestFit="1" customWidth="1"/>
    <col min="12" max="12" width="11.140625" bestFit="1" customWidth="1"/>
    <col min="13" max="13" width="20.140625" bestFit="1" customWidth="1"/>
    <col min="14" max="14" width="37.5703125" bestFit="1" customWidth="1"/>
    <col min="15" max="15" width="9.140625" customWidth="1"/>
  </cols>
  <sheetData>
    <row r="1" spans="1:14" ht="15.75" x14ac:dyDescent="0.25">
      <c r="A1" s="61"/>
      <c r="B1" s="62"/>
      <c r="C1" s="62"/>
      <c r="D1" s="63">
        <v>2021</v>
      </c>
      <c r="E1" s="184"/>
      <c r="F1" s="184"/>
      <c r="G1" s="63"/>
      <c r="H1" s="63"/>
      <c r="I1" s="63"/>
      <c r="J1" s="63"/>
      <c r="K1" s="63"/>
      <c r="L1" s="63"/>
      <c r="M1" s="63"/>
    </row>
    <row r="2" spans="1:14" ht="15.75" x14ac:dyDescent="0.25">
      <c r="A2" s="64"/>
      <c r="B2" s="63"/>
      <c r="C2" s="63" t="s">
        <v>150</v>
      </c>
      <c r="D2" s="65" t="s">
        <v>154</v>
      </c>
      <c r="E2" s="125" t="s">
        <v>176</v>
      </c>
      <c r="F2" s="126" t="s">
        <v>178</v>
      </c>
      <c r="G2" s="65" t="s">
        <v>155</v>
      </c>
      <c r="H2" s="65" t="s">
        <v>156</v>
      </c>
      <c r="I2" s="63" t="s">
        <v>157</v>
      </c>
      <c r="J2" s="63" t="s">
        <v>158</v>
      </c>
      <c r="K2" s="63" t="s">
        <v>159</v>
      </c>
      <c r="L2" s="63" t="s">
        <v>160</v>
      </c>
      <c r="M2" s="63" t="s">
        <v>179</v>
      </c>
    </row>
    <row r="3" spans="1:14" ht="16.5" thickBot="1" x14ac:dyDescent="0.3">
      <c r="A3" s="64" t="s">
        <v>151</v>
      </c>
      <c r="B3" s="63" t="s">
        <v>152</v>
      </c>
      <c r="C3" s="65" t="s">
        <v>153</v>
      </c>
      <c r="D3" s="65"/>
      <c r="E3" s="125"/>
      <c r="F3" s="126"/>
      <c r="G3" s="65"/>
      <c r="H3" s="65"/>
      <c r="I3" s="63"/>
      <c r="J3" s="63"/>
      <c r="K3" s="63"/>
      <c r="L3" s="63"/>
      <c r="M3" s="63"/>
      <c r="N3" s="116"/>
    </row>
    <row r="4" spans="1:14" ht="16.5" thickTop="1" thickBot="1" x14ac:dyDescent="0.3">
      <c r="A4" s="66" t="s">
        <v>161</v>
      </c>
      <c r="B4" s="67">
        <v>25</v>
      </c>
      <c r="C4" s="68">
        <f>+E21</f>
        <v>49.137087999999999</v>
      </c>
      <c r="D4" s="130">
        <f>C4*2080</f>
        <v>102205.14304</v>
      </c>
      <c r="E4" s="131">
        <f>C36*1.5*300</f>
        <v>20548.889999999996</v>
      </c>
      <c r="F4" s="131">
        <f>SUM(D4:E4)</f>
        <v>122754.03303999999</v>
      </c>
      <c r="G4" s="132">
        <f>F4*F14</f>
        <v>22672.669902488</v>
      </c>
      <c r="H4" s="130">
        <f>1725.27*12</f>
        <v>20703.239999999998</v>
      </c>
      <c r="I4" s="130">
        <f>F4*B14</f>
        <v>3928.1290572799999</v>
      </c>
      <c r="J4" s="130">
        <f>F4*D14</f>
        <v>7610.7500484799994</v>
      </c>
      <c r="K4" s="130">
        <f>F4*E14</f>
        <v>1779.9334790800001</v>
      </c>
      <c r="L4" s="130">
        <f>F4*G14</f>
        <v>1595.8024295199998</v>
      </c>
      <c r="M4" s="133">
        <f>SUM(F4:L4)</f>
        <v>181044.55795684797</v>
      </c>
      <c r="N4" s="116"/>
    </row>
    <row r="5" spans="1:14" ht="16.5" thickTop="1" thickBot="1" x14ac:dyDescent="0.3">
      <c r="A5" s="72" t="s">
        <v>163</v>
      </c>
      <c r="B5" s="112">
        <v>24</v>
      </c>
      <c r="C5" s="113">
        <f>+E22</f>
        <v>37.787022</v>
      </c>
      <c r="D5" s="130">
        <f t="shared" ref="D5:D8" si="0">C5*2080</f>
        <v>78597.00576</v>
      </c>
      <c r="E5" s="134">
        <f>C37*300*1.5</f>
        <v>13230</v>
      </c>
      <c r="F5" s="131">
        <f>SUM(D5:E5)</f>
        <v>91827.00576</v>
      </c>
      <c r="G5" s="132">
        <f>F5*F15</f>
        <v>15325.927261343999</v>
      </c>
      <c r="H5" s="114">
        <f>1725.27*12</f>
        <v>20703.239999999998</v>
      </c>
      <c r="I5" s="130">
        <f>F5*B15</f>
        <v>2938.4641843200002</v>
      </c>
      <c r="J5" s="130">
        <f>F5*D15</f>
        <v>5693.2743571199999</v>
      </c>
      <c r="K5" s="130">
        <f>F5*E15</f>
        <v>1331.4915835200002</v>
      </c>
      <c r="L5" s="130">
        <f>F5*G15</f>
        <v>1193.75107488</v>
      </c>
      <c r="M5" s="133">
        <f t="shared" ref="M5:M8" si="1">SUM(F5:L5)</f>
        <v>139013.154221184</v>
      </c>
      <c r="N5" s="116"/>
    </row>
    <row r="6" spans="1:14" ht="17.25" thickTop="1" thickBot="1" x14ac:dyDescent="0.3">
      <c r="A6" s="72" t="s">
        <v>485</v>
      </c>
      <c r="B6" s="112">
        <v>9</v>
      </c>
      <c r="C6" s="113">
        <f>+C23*D27+29.4</f>
        <v>30.099719999999998</v>
      </c>
      <c r="D6" s="130">
        <f t="shared" si="0"/>
        <v>62607.417599999993</v>
      </c>
      <c r="E6" s="134">
        <f>C38*300*1.5</f>
        <v>15835.5</v>
      </c>
      <c r="F6" s="131">
        <f>SUM(D6:E6)</f>
        <v>78442.917599999986</v>
      </c>
      <c r="G6" s="132">
        <f>F6*F16</f>
        <v>13092.122947439997</v>
      </c>
      <c r="H6" s="114">
        <f>1725.27*12</f>
        <v>20703.239999999998</v>
      </c>
      <c r="I6" s="130">
        <f t="shared" ref="I6:I8" si="2">F6*B16</f>
        <v>2510.1733631999996</v>
      </c>
      <c r="J6" s="130">
        <f>F6*D16</f>
        <v>4863.4608911999994</v>
      </c>
      <c r="K6" s="130">
        <f>F6*E16</f>
        <v>1137.4223051999998</v>
      </c>
      <c r="L6" s="130">
        <f>F6*G16</f>
        <v>1019.7579287999997</v>
      </c>
      <c r="M6" s="133">
        <f t="shared" si="1"/>
        <v>121769.09503583999</v>
      </c>
      <c r="N6" s="147" t="s">
        <v>181</v>
      </c>
    </row>
    <row r="7" spans="1:14" ht="17.25" thickTop="1" thickBot="1" x14ac:dyDescent="0.3">
      <c r="A7" s="72" t="s">
        <v>203</v>
      </c>
      <c r="B7" s="112">
        <v>1</v>
      </c>
      <c r="C7" s="113">
        <f t="shared" ref="C7:C8" si="3">+E24</f>
        <v>25.889317999999999</v>
      </c>
      <c r="D7" s="130">
        <f t="shared" si="0"/>
        <v>53849.781439999999</v>
      </c>
      <c r="E7" s="110">
        <v>0</v>
      </c>
      <c r="F7" s="131">
        <f>SUM(D7:E7)</f>
        <v>53849.781439999999</v>
      </c>
      <c r="G7" s="132">
        <f>F7*F17</f>
        <v>8987.5285223359988</v>
      </c>
      <c r="H7" s="114">
        <f>1725.27*12</f>
        <v>20703.239999999998</v>
      </c>
      <c r="I7" s="130">
        <f t="shared" si="2"/>
        <v>1723.19300608</v>
      </c>
      <c r="J7" s="130">
        <f>F7*D17</f>
        <v>3338.68644928</v>
      </c>
      <c r="K7" s="130">
        <f>F7*E17</f>
        <v>780.82183087999999</v>
      </c>
      <c r="L7" s="130">
        <f>F7*G17</f>
        <v>700.04715871999997</v>
      </c>
      <c r="M7" s="133">
        <f t="shared" si="1"/>
        <v>90083.298407295981</v>
      </c>
      <c r="N7" s="194"/>
    </row>
    <row r="8" spans="1:14" ht="16.5" thickTop="1" thickBot="1" x14ac:dyDescent="0.3">
      <c r="A8" s="186" t="s">
        <v>486</v>
      </c>
      <c r="B8" s="187">
        <v>1</v>
      </c>
      <c r="C8" s="113">
        <f t="shared" si="3"/>
        <v>20.541793999999999</v>
      </c>
      <c r="D8" s="130">
        <f t="shared" si="0"/>
        <v>42726.931519999998</v>
      </c>
      <c r="E8" s="193">
        <v>0</v>
      </c>
      <c r="F8" s="131">
        <f>SUM(D8:E8)</f>
        <v>42726.931519999998</v>
      </c>
      <c r="G8" s="132">
        <f>F8*F18</f>
        <v>7131.1248706879996</v>
      </c>
      <c r="H8" s="192">
        <f>1263.37*12</f>
        <v>15160.439999999999</v>
      </c>
      <c r="I8" s="130">
        <f t="shared" si="2"/>
        <v>1367.26180864</v>
      </c>
      <c r="J8" s="130">
        <f>F8*D18</f>
        <v>2649.0697542399998</v>
      </c>
      <c r="K8" s="130">
        <f>F8*E18</f>
        <v>619.54050703999997</v>
      </c>
      <c r="L8" s="130">
        <f>F8*G18</f>
        <v>555.45010975999992</v>
      </c>
      <c r="M8" s="133">
        <f t="shared" si="1"/>
        <v>70209.818570368006</v>
      </c>
      <c r="N8" s="182">
        <f>'2021 Payroll Benefits Summary'!M9+'2022 Approved'!D8</f>
        <v>610119.92419153592</v>
      </c>
    </row>
    <row r="9" spans="1:14" ht="16.5" thickTop="1" thickBot="1" x14ac:dyDescent="0.3">
      <c r="C9" s="142" t="s">
        <v>125</v>
      </c>
      <c r="D9" s="142">
        <f t="shared" ref="D9:M9" si="4">SUM(D4:D8)</f>
        <v>339986.27935999999</v>
      </c>
      <c r="E9" s="142">
        <f t="shared" si="4"/>
        <v>49614.39</v>
      </c>
      <c r="F9" s="142">
        <f t="shared" si="4"/>
        <v>389600.66935999994</v>
      </c>
      <c r="G9" s="142">
        <f t="shared" si="4"/>
        <v>67209.373504295989</v>
      </c>
      <c r="H9" s="142">
        <f t="shared" si="4"/>
        <v>97973.4</v>
      </c>
      <c r="I9" s="142">
        <f t="shared" si="4"/>
        <v>12467.221419519999</v>
      </c>
      <c r="J9" s="142">
        <f t="shared" si="4"/>
        <v>24155.24150032</v>
      </c>
      <c r="K9" s="142">
        <f t="shared" si="4"/>
        <v>5649.2097057199999</v>
      </c>
      <c r="L9" s="142">
        <f t="shared" si="4"/>
        <v>5064.8087016799991</v>
      </c>
      <c r="M9" s="181">
        <f t="shared" si="4"/>
        <v>602119.92419153592</v>
      </c>
    </row>
    <row r="10" spans="1:14" ht="15.75" thickTop="1" x14ac:dyDescent="0.25"/>
    <row r="12" spans="1:14" ht="15.75" x14ac:dyDescent="0.25">
      <c r="A12" s="87"/>
      <c r="B12" s="87"/>
      <c r="C12" s="87"/>
      <c r="J12" s="116"/>
    </row>
    <row r="13" spans="1:14" ht="15.75" x14ac:dyDescent="0.25">
      <c r="A13" s="63"/>
      <c r="B13" s="63" t="s">
        <v>157</v>
      </c>
      <c r="C13" s="63" t="s">
        <v>165</v>
      </c>
      <c r="D13" s="63" t="s">
        <v>158</v>
      </c>
      <c r="E13" s="63" t="s">
        <v>159</v>
      </c>
      <c r="F13" s="63" t="s">
        <v>155</v>
      </c>
      <c r="G13" s="63" t="s">
        <v>160</v>
      </c>
      <c r="H13" s="63" t="s">
        <v>205</v>
      </c>
    </row>
    <row r="14" spans="1:14" x14ac:dyDescent="0.25">
      <c r="A14" s="89" t="s">
        <v>161</v>
      </c>
      <c r="B14" s="90">
        <v>3.2000000000000001E-2</v>
      </c>
      <c r="C14" s="91">
        <f>1725.27*12</f>
        <v>20703.239999999998</v>
      </c>
      <c r="D14" s="90">
        <v>6.2E-2</v>
      </c>
      <c r="E14" s="90">
        <v>1.4500000000000001E-2</v>
      </c>
      <c r="F14" s="90">
        <v>0.1847</v>
      </c>
      <c r="G14" s="90">
        <v>1.2999999999999999E-2</v>
      </c>
      <c r="H14" s="90">
        <f>SUM(D14:G14)+B44</f>
        <v>0.2742</v>
      </c>
    </row>
    <row r="15" spans="1:14" x14ac:dyDescent="0.25">
      <c r="A15" s="89" t="s">
        <v>485</v>
      </c>
      <c r="B15" s="90">
        <v>3.2000000000000001E-2</v>
      </c>
      <c r="C15" s="91">
        <f>1756.76*12</f>
        <v>21081.119999999999</v>
      </c>
      <c r="D15" s="90">
        <v>6.2E-2</v>
      </c>
      <c r="E15" s="90">
        <v>1.4500000000000001E-2</v>
      </c>
      <c r="F15" s="90">
        <v>0.16689999999999999</v>
      </c>
      <c r="G15" s="90">
        <v>1.2999999999999999E-2</v>
      </c>
      <c r="H15" s="90">
        <f>SUM(D15:G15)+B45</f>
        <v>0.25640000000000002</v>
      </c>
    </row>
    <row r="16" spans="1:14" x14ac:dyDescent="0.25">
      <c r="A16" s="89" t="s">
        <v>163</v>
      </c>
      <c r="B16" s="90">
        <v>3.2000000000000001E-2</v>
      </c>
      <c r="C16" s="91">
        <f>1263.37*12</f>
        <v>15160.439999999999</v>
      </c>
      <c r="D16" s="90">
        <v>6.2E-2</v>
      </c>
      <c r="E16" s="90">
        <v>1.4500000000000001E-2</v>
      </c>
      <c r="F16" s="90">
        <v>0.16689999999999999</v>
      </c>
      <c r="G16" s="90">
        <v>1.2999999999999999E-2</v>
      </c>
      <c r="H16" s="90">
        <f>SUM(D16:G16)+B46</f>
        <v>0.25640000000000002</v>
      </c>
    </row>
    <row r="17" spans="1:9" x14ac:dyDescent="0.25">
      <c r="A17" s="89" t="s">
        <v>203</v>
      </c>
      <c r="B17" s="90">
        <v>3.2000000000000001E-2</v>
      </c>
      <c r="C17" s="91">
        <f t="shared" ref="C17:C18" si="5">1263.37*12</f>
        <v>15160.439999999999</v>
      </c>
      <c r="D17" s="90">
        <v>6.2E-2</v>
      </c>
      <c r="E17" s="90">
        <v>1.4500000000000001E-2</v>
      </c>
      <c r="F17" s="90">
        <v>0.16689999999999999</v>
      </c>
      <c r="G17" s="90">
        <v>1.2999999999999999E-2</v>
      </c>
      <c r="H17" s="90">
        <f>SUM(D17:G17)+B47</f>
        <v>0.25640000000000002</v>
      </c>
    </row>
    <row r="18" spans="1:9" x14ac:dyDescent="0.25">
      <c r="A18" s="10" t="s">
        <v>204</v>
      </c>
      <c r="B18" s="90">
        <v>3.2000000000000001E-2</v>
      </c>
      <c r="C18" s="91">
        <f t="shared" si="5"/>
        <v>15160.439999999999</v>
      </c>
      <c r="D18" s="90">
        <v>6.2E-2</v>
      </c>
      <c r="E18" s="90">
        <v>1.4500000000000001E-2</v>
      </c>
      <c r="F18" s="90">
        <v>0.16689999999999999</v>
      </c>
      <c r="G18" s="90">
        <v>1.2999999999999999E-2</v>
      </c>
      <c r="H18" s="90">
        <f>SUM(D18:G18)+B48</f>
        <v>0.25640000000000002</v>
      </c>
    </row>
    <row r="19" spans="1:9" ht="15.75" x14ac:dyDescent="0.25">
      <c r="A19" s="64"/>
      <c r="B19" s="63"/>
      <c r="C19" s="63" t="s">
        <v>150</v>
      </c>
    </row>
    <row r="20" spans="1:9" ht="16.5" thickBot="1" x14ac:dyDescent="0.3">
      <c r="A20" s="64" t="s">
        <v>151</v>
      </c>
      <c r="B20" s="63" t="s">
        <v>152</v>
      </c>
      <c r="C20" s="65" t="s">
        <v>153</v>
      </c>
      <c r="D20" t="s">
        <v>487</v>
      </c>
      <c r="E20" t="s">
        <v>491</v>
      </c>
    </row>
    <row r="21" spans="1:9" x14ac:dyDescent="0.25">
      <c r="A21" s="66" t="s">
        <v>161</v>
      </c>
      <c r="B21" s="67">
        <v>25</v>
      </c>
      <c r="C21" s="68">
        <v>45.76</v>
      </c>
      <c r="D21">
        <f>+C21*E27</f>
        <v>3.3770880000000001</v>
      </c>
      <c r="E21" s="116">
        <f>SUM(C21:D21)</f>
        <v>49.137087999999999</v>
      </c>
    </row>
    <row r="22" spans="1:9" x14ac:dyDescent="0.25">
      <c r="A22" s="72" t="s">
        <v>163</v>
      </c>
      <c r="B22" s="112">
        <v>24</v>
      </c>
      <c r="C22" s="113">
        <v>35.19</v>
      </c>
      <c r="D22">
        <f>+C22*E27</f>
        <v>2.5970219999999999</v>
      </c>
      <c r="E22" s="116">
        <f t="shared" ref="E22:E25" si="6">SUM(C22:D22)</f>
        <v>37.787022</v>
      </c>
    </row>
    <row r="23" spans="1:9" x14ac:dyDescent="0.25">
      <c r="A23" s="72" t="s">
        <v>485</v>
      </c>
      <c r="B23" s="112">
        <v>1</v>
      </c>
      <c r="C23" s="113">
        <v>29.4</v>
      </c>
      <c r="D23">
        <f>+C23*D27</f>
        <v>0.69972000000000001</v>
      </c>
      <c r="E23" s="116">
        <f>SUM(C23:D23)</f>
        <v>30.099719999999998</v>
      </c>
    </row>
    <row r="24" spans="1:9" x14ac:dyDescent="0.25">
      <c r="A24" s="72" t="s">
        <v>203</v>
      </c>
      <c r="B24" s="112">
        <v>2</v>
      </c>
      <c r="C24" s="113">
        <v>24.11</v>
      </c>
      <c r="D24">
        <f>+C24*E27</f>
        <v>1.779318</v>
      </c>
      <c r="E24" s="116">
        <f t="shared" si="6"/>
        <v>25.889317999999999</v>
      </c>
    </row>
    <row r="25" spans="1:9" ht="15.75" thickBot="1" x14ac:dyDescent="0.3">
      <c r="A25" s="186" t="s">
        <v>486</v>
      </c>
      <c r="B25" s="187">
        <v>2</v>
      </c>
      <c r="C25" s="188">
        <v>19.13</v>
      </c>
      <c r="D25">
        <f>+C25*E27</f>
        <v>1.411794</v>
      </c>
      <c r="E25" s="116">
        <f t="shared" si="6"/>
        <v>20.541793999999999</v>
      </c>
      <c r="I25" s="116"/>
    </row>
    <row r="26" spans="1:9" ht="16.5" thickTop="1" thickBot="1" x14ac:dyDescent="0.3">
      <c r="A26" s="136"/>
      <c r="B26" s="137"/>
      <c r="C26" s="180" t="s">
        <v>125</v>
      </c>
      <c r="D26" s="84">
        <f>SUM(D21:D25)</f>
        <v>9.8649419999999992</v>
      </c>
    </row>
    <row r="27" spans="1:9" ht="24" customHeight="1" thickTop="1" x14ac:dyDescent="0.25">
      <c r="A27" s="60"/>
      <c r="B27" s="90"/>
      <c r="C27" s="91"/>
      <c r="D27" s="185">
        <v>2.3800000000000002E-2</v>
      </c>
      <c r="E27" s="90">
        <v>7.3800000000000004E-2</v>
      </c>
    </row>
    <row r="34" spans="1:3" ht="15.75" x14ac:dyDescent="0.25">
      <c r="A34" s="64"/>
      <c r="B34" s="63"/>
      <c r="C34" s="63" t="s">
        <v>150</v>
      </c>
    </row>
    <row r="35" spans="1:3" ht="16.5" thickBot="1" x14ac:dyDescent="0.3">
      <c r="A35" s="64" t="s">
        <v>151</v>
      </c>
      <c r="B35" s="63" t="s">
        <v>152</v>
      </c>
      <c r="C35" s="65" t="s">
        <v>153</v>
      </c>
    </row>
    <row r="36" spans="1:3" ht="15.75" thickTop="1" x14ac:dyDescent="0.25">
      <c r="A36" s="127" t="s">
        <v>161</v>
      </c>
      <c r="B36" s="128">
        <v>24</v>
      </c>
      <c r="C36" s="129">
        <f>(44.12*0.035)+44.12</f>
        <v>45.664199999999994</v>
      </c>
    </row>
    <row r="37" spans="1:3" x14ac:dyDescent="0.25">
      <c r="A37" s="111" t="s">
        <v>485</v>
      </c>
      <c r="B37" s="112">
        <v>1</v>
      </c>
      <c r="C37" s="113">
        <v>29.4</v>
      </c>
    </row>
    <row r="38" spans="1:3" x14ac:dyDescent="0.25">
      <c r="A38" s="111" t="s">
        <v>163</v>
      </c>
      <c r="B38" s="112">
        <v>8</v>
      </c>
      <c r="C38" s="113">
        <v>35.19</v>
      </c>
    </row>
    <row r="39" spans="1:3" x14ac:dyDescent="0.25">
      <c r="A39" s="111" t="s">
        <v>203</v>
      </c>
      <c r="B39" s="112">
        <v>1</v>
      </c>
      <c r="C39" s="113">
        <f>(23.3*0.035)+23.3</f>
        <v>24.115500000000001</v>
      </c>
    </row>
    <row r="40" spans="1:3" x14ac:dyDescent="0.25">
      <c r="A40" s="189" t="s">
        <v>204</v>
      </c>
      <c r="B40" s="190">
        <v>1</v>
      </c>
      <c r="C40" s="191">
        <v>19.13</v>
      </c>
    </row>
    <row r="41" spans="1:3" ht="15.75" thickBot="1" x14ac:dyDescent="0.3">
      <c r="A41" s="136"/>
      <c r="B41" s="137"/>
      <c r="C41" s="180" t="s">
        <v>125</v>
      </c>
    </row>
    <row r="42" spans="1:3" ht="15.75" thickTop="1" x14ac:dyDescent="0.25"/>
    <row r="43" spans="1:3" ht="15.75" x14ac:dyDescent="0.25">
      <c r="A43" s="63"/>
      <c r="B43" s="63"/>
      <c r="C43" s="63"/>
    </row>
    <row r="44" spans="1:3" x14ac:dyDescent="0.25">
      <c r="A44" s="89"/>
      <c r="B44" s="90"/>
      <c r="C44" s="91"/>
    </row>
    <row r="45" spans="1:3" x14ac:dyDescent="0.25">
      <c r="A45" s="89"/>
      <c r="B45" s="90"/>
      <c r="C45" s="91"/>
    </row>
    <row r="46" spans="1:3" x14ac:dyDescent="0.25">
      <c r="A46" s="89"/>
      <c r="B46" s="90"/>
      <c r="C46" s="91"/>
    </row>
    <row r="47" spans="1:3" x14ac:dyDescent="0.25">
      <c r="A47" s="89"/>
      <c r="B47" s="90"/>
      <c r="C47" s="91"/>
    </row>
    <row r="48" spans="1:3" x14ac:dyDescent="0.25">
      <c r="A48" s="10"/>
      <c r="B48" s="90"/>
      <c r="C48" s="91"/>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Early Projections</vt:lpstr>
      <vt:lpstr>Inputs</vt:lpstr>
      <vt:lpstr>Rate Changes Summary</vt:lpstr>
      <vt:lpstr>Sheet9</vt:lpstr>
      <vt:lpstr>Existing Debt</vt:lpstr>
      <vt:lpstr>Allocation</vt:lpstr>
      <vt:lpstr>Sheet3</vt:lpstr>
      <vt:lpstr>Water Usage Rate Summary</vt:lpstr>
      <vt:lpstr>2021 Payroll Benefits Summary</vt:lpstr>
      <vt:lpstr>2022 Payroll Benefits Summa (3)</vt:lpstr>
      <vt:lpstr>2022 Approved</vt:lpstr>
      <vt:lpstr>2021 Reserve Amort</vt:lpstr>
      <vt:lpstr>2004 Reserve Amort</vt:lpstr>
      <vt:lpstr>2022 Payroll Benefits Summa (2)</vt:lpstr>
      <vt:lpstr>Sheet4</vt:lpstr>
      <vt:lpstr>Sheet2</vt:lpstr>
      <vt:lpstr>Month End Cash Summary</vt:lpstr>
      <vt:lpstr>Payroll Costs 2016-2017</vt:lpstr>
      <vt:lpstr>Payroll Costs 2018</vt:lpstr>
      <vt:lpstr>Debt Service 2011 Assesment</vt:lpstr>
      <vt:lpstr>Debt Service 2</vt:lpstr>
      <vt:lpstr>Overtime 2009-2016</vt:lpstr>
      <vt:lpstr>'2004 Reserve Amort'!Print_Area</vt:lpstr>
      <vt:lpstr>'2021 Reserve Amort'!Print_Area</vt:lpstr>
      <vt:lpstr>'2022 Approved'!Print_Area</vt:lpstr>
      <vt:lpstr>'Debt Service 2011 Assesment'!Print_Area</vt:lpstr>
      <vt:lpstr>'2004 Reserve Amort'!Print_Titles</vt:lpstr>
      <vt:lpstr>'2022 Approved'!Print_Titles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Jody Defa</cp:lastModifiedBy>
  <cp:lastPrinted>2019-12-11T20:44:41Z</cp:lastPrinted>
  <dcterms:created xsi:type="dcterms:W3CDTF">2011-10-13T18:14:38Z</dcterms:created>
  <dcterms:modified xsi:type="dcterms:W3CDTF">2022-02-11T19:01:04Z</dcterms:modified>
</cp:coreProperties>
</file>